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Forecast" sheetId="3" state="visible" r:id="rId5"/>
    <sheet name="Sensitivity" sheetId="4" state="visible" r:id="rId6"/>
    <sheet name="Checks" sheetId="5" state="visible" r:id="rId7"/>
    <sheet name="ReadMe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<sst xmlns="http://schemas.openxmlformats.org/spreadsheetml/2006/main" count="64" uniqueCount="55">
  <si>
    <t xml:space="preserve">DCF Valuation</t>
  </si>
  <si>
    <t xml:space="preserve">FORMULAPLANET  •  EUR  •  v1.2  •  Illustrative inputs  •  Pre-tax</t>
  </si>
  <si>
    <t xml:space="preserve">Active case (1 base / 2 downside)</t>
  </si>
  <si>
    <t xml:space="preserve">Equity invested</t>
  </si>
  <si>
    <t xml:space="preserve">Equity distributed</t>
  </si>
  <si>
    <t xml:space="preserve">Annualized equity IRR</t>
  </si>
  <si>
    <t xml:space="preserve">Equity multiple / MOIC</t>
  </si>
  <si>
    <t xml:space="preserve">Net equity profit</t>
  </si>
  <si>
    <t xml:space="preserve">Investment NPV</t>
  </si>
  <si>
    <t xml:space="preserve">DCF asset value before buying costs</t>
  </si>
  <si>
    <t xml:space="preserve">Year 1 net operating income</t>
  </si>
  <si>
    <t xml:space="preserve">Direct capitalization value</t>
  </si>
  <si>
    <t xml:space="preserve">Going-in cap rate</t>
  </si>
  <si>
    <t xml:space="preserve">Net initial yield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</si>
  <si>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</si>
  <si>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</si>
  <si>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</si>
  <si>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</si>
  <si>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</si>
  <si>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</si>
  <si>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Acquisition price</t>
  </si>
  <si>
    <t xml:space="preserve">Acquisition cost rate</t>
  </si>
  <si>
    <t xml:space="preserve">Year 1 gross potential rent</t>
  </si>
  <si>
    <t xml:space="preserve">Vacancy / collection loss</t>
  </si>
  <si>
    <t xml:space="preserve">Annual landlord operating costs</t>
  </si>
  <si>
    <t xml:space="preserve">Annual income / rent growth</t>
  </si>
  <si>
    <t xml:space="preserve">Annual cost inflation</t>
  </si>
  <si>
    <t xml:space="preserve">Annual recurring capex</t>
  </si>
  <si>
    <t xml:space="preserve">Terminal capitalization rate</t>
  </si>
  <si>
    <t xml:space="preserve">Discount rate</t>
  </si>
  <si>
    <t xml:space="preserve">Selling cost rate</t>
  </si>
  <si>
    <t xml:space="preserve">Lease / DCF term in years (1–10)</t>
  </si>
  <si>
    <t xml:space="preserve">Forecast</t>
  </si>
  <si>
    <t xml:space="preserve">Year</t>
  </si>
  <si>
    <t xml:space="preserve">Gross rent</t>
  </si>
  <si>
    <t xml:space="preserve">Collection / vacancy loss</t>
  </si>
  <si>
    <t xml:space="preserve">Landlord operating costs</t>
  </si>
  <si>
    <t xml:space="preserve">NOI</t>
  </si>
  <si>
    <t xml:space="preserve">Recurring capex</t>
  </si>
  <si>
    <t xml:space="preserve">Gross terminal / reversion value</t>
  </si>
  <si>
    <t xml:space="preserve">Selling costs</t>
  </si>
  <si>
    <t xml:space="preserve">Acquisition incl. costs</t>
  </si>
  <si>
    <t xml:space="preserve">Net investment cash flow</t>
  </si>
  <si>
    <t xml:space="preserve">Present value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</si>
  <si>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</si>
  <si>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</si>
  <si>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</si>
  <si>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Cash flow reconciliation (zero)</t>
  </si>
  <si>
    <t xml:space="preserve">Dashboard IRR calculation</t>
  </si>
  <si>
    <t xml:space="preserve">ReadMe</t>
  </si>
  <si>
    <t xml:space="preserve">DCF Valuation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</si>
  <si>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</si>
  <si>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</si>
  <si>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</si>
  <si>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DCF: annual end-of-period unlevered cash flows; sale at the selected term uses forward NOI divided by exit cap. Recurring capex is deducted from cash flow, not from terminal NOI. Set term from 1 to 10 years.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</si>
</sst>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-SUMIF(Forecast!C16:M16,"&lt;0",Forecast!C16:M16)</f>
        <v>10600000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SUMIF(Forecast!C16:M16,"&gt;0",Forecast!C16:M16)</f>
        <v>19332196.6940918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10" t="n">
        <f aca="false">IF(AND(C8&gt;0,C9&gt;0),(1+IFERROR(IRR(Forecast!C16:M16),IRR(Forecast!C16:M16,0)))^1-1,"n.a.")</f>
        <v>0.142540520268475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11" t="n">
        <f aca="false">IF(C8&gt;0,C9/C8,0)</f>
        <v>1.82379214095206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5" t="n">
        <f aca="false">C9-C8</f>
        <v>8732196.69409179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8</v>
      </c>
      <c r="C14" s="5" t="n">
        <f aca="false">SUM(Forecast!C17:M17)</f>
        <v>2473368.29696173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9</v>
      </c>
      <c r="C15" s="8" t="n">
        <f aca="false">SUM(Forecast!D17:M17)</f>
        <v>13073368.2969617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10</v>
      </c>
      <c r="C16" s="5" t="n">
        <f aca="false">Forecast!D11</f>
        <v>825000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7" t="s">
        <v>11</v>
      </c>
      <c r="C17" s="8" t="n">
        <f aca="false">C16/Assumptions!$E$16</f>
        <v>13750000</v>
      </c>
      <c r="D17" s="9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4" t="s">
        <v>12</v>
      </c>
      <c r="C18" s="10" t="n">
        <f aca="false">C16/Assumptions!$E$8</f>
        <v>0.0825</v>
      </c>
      <c r="D18" s="6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7" t="s">
        <v>13</v>
      </c>
      <c r="C19" s="12" t="n">
        <f aca="false">(C16-Assumptions!$E$15)/C8</f>
        <v>0.0731132075471698</v>
      </c>
      <c r="D19" s="9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</row>
    <row r="27" customFormat="false" ht="25" hidden="false" customHeight="true" outlineLevel="0" collapsed="false">
      <c r="A27" s="1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16</v>
      </c>
      <c r="C6" s="14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17</v>
      </c>
      <c r="D7" s="3" t="s">
        <v>18</v>
      </c>
      <c r="E7" s="3" t="s">
        <v>19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20</v>
      </c>
      <c r="C8" s="15" t="n">
        <v>10000000</v>
      </c>
      <c r="D8" s="15" t="n">
        <v>10000000</v>
      </c>
      <c r="E8" s="3" t="n">
        <f aca="false">IF($C$6=2,D8,C8)</f>
        <v>10000000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21</v>
      </c>
      <c r="C9" s="16" t="n">
        <v>0.06</v>
      </c>
      <c r="D9" s="16" t="n">
        <v>0.06</v>
      </c>
      <c r="E9" s="17" t="n">
        <f aca="false">IF($C$6=2,D9,C9)</f>
        <v>0.06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22</v>
      </c>
      <c r="C10" s="15" t="n">
        <v>1100000</v>
      </c>
      <c r="D10" s="15" t="n">
        <v>990000</v>
      </c>
      <c r="E10" s="3" t="n">
        <f aca="false">IF($C$6=2,D10,C10)</f>
        <v>1100000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23</v>
      </c>
      <c r="C11" s="16" t="n">
        <v>0.05</v>
      </c>
      <c r="D11" s="16" t="n">
        <v>0.12</v>
      </c>
      <c r="E11" s="17" t="n">
        <f aca="false">IF($C$6=2,D11,C11)</f>
        <v>0.05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24</v>
      </c>
      <c r="C12" s="15" t="n">
        <v>220000</v>
      </c>
      <c r="D12" s="15" t="n">
        <v>250000</v>
      </c>
      <c r="E12" s="3" t="n">
        <f aca="false">IF($C$6=2,D12,C12)</f>
        <v>220000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25</v>
      </c>
      <c r="C13" s="16" t="n">
        <v>0.025</v>
      </c>
      <c r="D13" s="16" t="n">
        <v>0.01</v>
      </c>
      <c r="E13" s="17" t="n">
        <f aca="false">IF($C$6=2,D13,C13)</f>
        <v>0.025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26</v>
      </c>
      <c r="C14" s="16" t="n">
        <v>0.025</v>
      </c>
      <c r="D14" s="16" t="n">
        <v>0.04</v>
      </c>
      <c r="E14" s="17" t="n">
        <f aca="false">IF($C$6=2,D14,C14)</f>
        <v>0.025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27</v>
      </c>
      <c r="C15" s="15" t="n">
        <v>50000</v>
      </c>
      <c r="D15" s="15" t="n">
        <v>50000</v>
      </c>
      <c r="E15" s="3" t="n">
        <f aca="false">IF($C$6=2,D15,C15)</f>
        <v>50000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28</v>
      </c>
      <c r="C16" s="16" t="n">
        <v>0.06</v>
      </c>
      <c r="D16" s="16" t="n">
        <v>0.07</v>
      </c>
      <c r="E16" s="17" t="n">
        <f aca="false">IF($C$6=2,D16,C16)</f>
        <v>0.06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29</v>
      </c>
      <c r="C17" s="16" t="n">
        <v>0.09</v>
      </c>
      <c r="D17" s="16" t="n">
        <v>0.11</v>
      </c>
      <c r="E17" s="17" t="n">
        <f aca="false">IF($C$6=2,D17,C17)</f>
        <v>0.09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30</v>
      </c>
      <c r="C18" s="16" t="n">
        <v>0.02</v>
      </c>
      <c r="D18" s="16" t="n">
        <v>0.02</v>
      </c>
      <c r="E18" s="17" t="n">
        <f aca="false">IF($C$6=2,D18,C18)</f>
        <v>0.02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31</v>
      </c>
      <c r="C19" s="15" t="n">
        <v>5</v>
      </c>
      <c r="D19" s="15" t="n">
        <v>5</v>
      </c>
      <c r="E19" s="3" t="n">
        <f aca="false">IF($C$6=2,D19,C19)</f>
        <v>5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33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34</v>
      </c>
      <c r="C8" s="3" t="n">
        <f aca="false">0</f>
        <v>0</v>
      </c>
      <c r="D8" s="3" t="n">
        <f aca="false">IF(D$6&lt;=Assumptions!$E$19,Assumptions!$E$10*(1+Assumptions!$E$13)^(D$6-1),0)</f>
        <v>1100000</v>
      </c>
      <c r="E8" s="3" t="n">
        <f aca="false">IF(E$6&lt;=Assumptions!$E$19,Assumptions!$E$10*(1+Assumptions!$E$13)^(E$6-1),0)</f>
        <v>1127500</v>
      </c>
      <c r="F8" s="3" t="n">
        <f aca="false">IF(F$6&lt;=Assumptions!$E$19,Assumptions!$E$10*(1+Assumptions!$E$13)^(F$6-1),0)</f>
        <v>1155687.5</v>
      </c>
      <c r="G8" s="3" t="n">
        <f aca="false">IF(G$6&lt;=Assumptions!$E$19,Assumptions!$E$10*(1+Assumptions!$E$13)^(G$6-1),0)</f>
        <v>1184579.6875</v>
      </c>
      <c r="H8" s="3" t="n">
        <f aca="false">IF(H$6&lt;=Assumptions!$E$19,Assumptions!$E$10*(1+Assumptions!$E$13)^(H$6-1),0)</f>
        <v>1214194.1796875</v>
      </c>
      <c r="I8" s="3" t="n">
        <f aca="false">IF(I$6&lt;=Assumptions!$E$19,Assumptions!$E$10*(1+Assumptions!$E$13)^(I$6-1),0)</f>
        <v>0</v>
      </c>
      <c r="J8" s="3" t="n">
        <f aca="false">IF(J$6&lt;=Assumptions!$E$19,Assumptions!$E$10*(1+Assumptions!$E$13)^(J$6-1),0)</f>
        <v>0</v>
      </c>
      <c r="K8" s="3" t="n">
        <f aca="false">IF(K$6&lt;=Assumptions!$E$19,Assumptions!$E$10*(1+Assumptions!$E$13)^(K$6-1),0)</f>
        <v>0</v>
      </c>
      <c r="L8" s="0" t="n">
        <f aca="false">IF(L$6&lt;=Assumptions!$E$19,Assumptions!$E$10*(1+Assumptions!$E$13)^(L$6-1),0)</f>
        <v>0</v>
      </c>
      <c r="M8" s="0" t="n">
        <f aca="false">IF(M$6&lt;=Assumptions!$E$19,Assumptions!$E$10*(1+Assumptions!$E$13)^(M$6-1),0)</f>
        <v>0</v>
      </c>
    </row>
    <row r="9" customFormat="false" ht="25" hidden="false" customHeight="true" outlineLevel="0" collapsed="false">
      <c r="A9" s="1"/>
      <c r="B9" s="1" t="s">
        <v>35</v>
      </c>
      <c r="C9" s="3" t="n">
        <f aca="false">C8*Assumptions!$E$11</f>
        <v>0</v>
      </c>
      <c r="D9" s="3" t="n">
        <f aca="false">D8*Assumptions!$E$11</f>
        <v>55000</v>
      </c>
      <c r="E9" s="3" t="n">
        <f aca="false">E8*Assumptions!$E$11</f>
        <v>56375</v>
      </c>
      <c r="F9" s="3" t="n">
        <f aca="false">F8*Assumptions!$E$11</f>
        <v>57784.375</v>
      </c>
      <c r="G9" s="3" t="n">
        <f aca="false">G8*Assumptions!$E$11</f>
        <v>59228.984375</v>
      </c>
      <c r="H9" s="3" t="n">
        <f aca="false">H8*Assumptions!$E$11</f>
        <v>60709.708984375</v>
      </c>
      <c r="I9" s="3" t="n">
        <f aca="false">I8*Assumptions!$E$11</f>
        <v>0</v>
      </c>
      <c r="J9" s="3" t="n">
        <f aca="false">J8*Assumptions!$E$11</f>
        <v>0</v>
      </c>
      <c r="K9" s="3" t="n">
        <f aca="false">K8*Assumptions!$E$11</f>
        <v>0</v>
      </c>
      <c r="L9" s="0" t="n">
        <f aca="false">L8*Assumptions!$E$11</f>
        <v>0</v>
      </c>
      <c r="M9" s="0" t="n">
        <f aca="false">M8*Assumptions!$E$11</f>
        <v>0</v>
      </c>
    </row>
    <row r="10" customFormat="false" ht="25" hidden="false" customHeight="true" outlineLevel="0" collapsed="false">
      <c r="A10" s="1"/>
      <c r="B10" s="1" t="s">
        <v>36</v>
      </c>
      <c r="C10" s="3" t="n">
        <f aca="false">0</f>
        <v>0</v>
      </c>
      <c r="D10" s="3" t="n">
        <f aca="false">IF(D$6&lt;=Assumptions!$E$19,Assumptions!$E$12*(1+Assumptions!$E$14)^(D$6-1),0)</f>
        <v>220000</v>
      </c>
      <c r="E10" s="3" t="n">
        <f aca="false">IF(E$6&lt;=Assumptions!$E$19,Assumptions!$E$12*(1+Assumptions!$E$14)^(E$6-1),0)</f>
        <v>225500</v>
      </c>
      <c r="F10" s="3" t="n">
        <f aca="false">IF(F$6&lt;=Assumptions!$E$19,Assumptions!$E$12*(1+Assumptions!$E$14)^(F$6-1),0)</f>
        <v>231137.5</v>
      </c>
      <c r="G10" s="3" t="n">
        <f aca="false">IF(G$6&lt;=Assumptions!$E$19,Assumptions!$E$12*(1+Assumptions!$E$14)^(G$6-1),0)</f>
        <v>236915.9375</v>
      </c>
      <c r="H10" s="3" t="n">
        <f aca="false">IF(H$6&lt;=Assumptions!$E$19,Assumptions!$E$12*(1+Assumptions!$E$14)^(H$6-1),0)</f>
        <v>242838.8359375</v>
      </c>
      <c r="I10" s="3" t="n">
        <f aca="false">IF(I$6&lt;=Assumptions!$E$19,Assumptions!$E$12*(1+Assumptions!$E$14)^(I$6-1),0)</f>
        <v>0</v>
      </c>
      <c r="J10" s="3" t="n">
        <f aca="false">IF(J$6&lt;=Assumptions!$E$19,Assumptions!$E$12*(1+Assumptions!$E$14)^(J$6-1),0)</f>
        <v>0</v>
      </c>
      <c r="K10" s="3" t="n">
        <f aca="false">IF(K$6&lt;=Assumptions!$E$19,Assumptions!$E$12*(1+Assumptions!$E$14)^(K$6-1),0)</f>
        <v>0</v>
      </c>
      <c r="L10" s="0" t="n">
        <f aca="false">IF(L$6&lt;=Assumptions!$E$19,Assumptions!$E$12*(1+Assumptions!$E$14)^(L$6-1),0)</f>
        <v>0</v>
      </c>
      <c r="M10" s="0" t="n">
        <f aca="false">IF(M$6&lt;=Assumptions!$E$19,Assumptions!$E$12*(1+Assumptions!$E$14)^(M$6-1),0)</f>
        <v>0</v>
      </c>
    </row>
    <row r="11" customFormat="false" ht="25" hidden="false" customHeight="true" outlineLevel="0" collapsed="false">
      <c r="A11" s="1"/>
      <c r="B11" s="1" t="s">
        <v>37</v>
      </c>
      <c r="C11" s="3" t="n">
        <f aca="false">C8-SUM(C9:C10)</f>
        <v>0</v>
      </c>
      <c r="D11" s="3" t="n">
        <f aca="false">D8-SUM(D9:D10)</f>
        <v>825000</v>
      </c>
      <c r="E11" s="3" t="n">
        <f aca="false">E8-SUM(E9:E10)</f>
        <v>845625</v>
      </c>
      <c r="F11" s="3" t="n">
        <f aca="false">F8-SUM(F9:F10)</f>
        <v>866765.625</v>
      </c>
      <c r="G11" s="3" t="n">
        <f aca="false">G8-SUM(G9:G10)</f>
        <v>888434.765625</v>
      </c>
      <c r="H11" s="3" t="n">
        <f aca="false">H8-SUM(H9:H10)</f>
        <v>910645.634765625</v>
      </c>
      <c r="I11" s="3" t="n">
        <f aca="false">I8-SUM(I9:I10)</f>
        <v>0</v>
      </c>
      <c r="J11" s="3" t="n">
        <f aca="false">J8-SUM(J9:J10)</f>
        <v>0</v>
      </c>
      <c r="K11" s="3" t="n">
        <f aca="false">K8-SUM(K9:K10)</f>
        <v>0</v>
      </c>
      <c r="L11" s="0" t="n">
        <f aca="false">L8-SUM(L9:L10)</f>
        <v>0</v>
      </c>
      <c r="M11" s="0" t="n">
        <f aca="false">M8-SUM(M9:M10)</f>
        <v>0</v>
      </c>
    </row>
    <row r="12" customFormat="false" ht="25" hidden="false" customHeight="true" outlineLevel="0" collapsed="false">
      <c r="A12" s="1"/>
      <c r="B12" s="1" t="s">
        <v>38</v>
      </c>
      <c r="C12" s="3" t="n">
        <f aca="false">0</f>
        <v>0</v>
      </c>
      <c r="D12" s="3" t="n">
        <f aca="false">IF(D$6&lt;=Assumptions!$E$19,Assumptions!$E$15,0)</f>
        <v>50000</v>
      </c>
      <c r="E12" s="3" t="n">
        <f aca="false">IF(E$6&lt;=Assumptions!$E$19,Assumptions!$E$15,0)</f>
        <v>50000</v>
      </c>
      <c r="F12" s="3" t="n">
        <f aca="false">IF(F$6&lt;=Assumptions!$E$19,Assumptions!$E$15,0)</f>
        <v>50000</v>
      </c>
      <c r="G12" s="3" t="n">
        <f aca="false">IF(G$6&lt;=Assumptions!$E$19,Assumptions!$E$15,0)</f>
        <v>50000</v>
      </c>
      <c r="H12" s="3" t="n">
        <f aca="false">IF(H$6&lt;=Assumptions!$E$19,Assumptions!$E$15,0)</f>
        <v>50000</v>
      </c>
      <c r="I12" s="3" t="n">
        <f aca="false">IF(I$6&lt;=Assumptions!$E$19,Assumptions!$E$15,0)</f>
        <v>0</v>
      </c>
      <c r="J12" s="3" t="n">
        <f aca="false">IF(J$6&lt;=Assumptions!$E$19,Assumptions!$E$15,0)</f>
        <v>0</v>
      </c>
      <c r="K12" s="3" t="n">
        <f aca="false">IF(K$6&lt;=Assumptions!$E$19,Assumptions!$E$15,0)</f>
        <v>0</v>
      </c>
      <c r="L12" s="0" t="n">
        <f aca="false">IF(L$6&lt;=Assumptions!$E$19,Assumptions!$E$15,0)</f>
        <v>0</v>
      </c>
      <c r="M12" s="0" t="n">
        <f aca="false">IF(M$6&lt;=Assumptions!$E$19,Assumptions!$E$15,0)</f>
        <v>0</v>
      </c>
    </row>
    <row r="13" customFormat="false" ht="25" hidden="false" customHeight="true" outlineLevel="0" collapsed="false">
      <c r="A13" s="1"/>
      <c r="B13" s="1" t="s">
        <v>39</v>
      </c>
      <c r="C13" s="3" t="n">
        <f aca="false">0</f>
        <v>0</v>
      </c>
      <c r="D13" s="3" t="n">
        <f aca="false">IF(D$6=Assumptions!$E$19,(Assumptions!$E$10*(1+Assumptions!$E$13)^D$6*(1-Assumptions!$E$11)-Assumptions!$E$12*(1+Assumptions!$E$14)^D$6)/Assumptions!$E$16,0)</f>
        <v>0</v>
      </c>
      <c r="E13" s="3" t="n">
        <f aca="false">IF(E$6=Assumptions!$E$19,(Assumptions!$E$10*(1+Assumptions!$E$13)^E$6*(1-Assumptions!$E$11)-Assumptions!$E$12*(1+Assumptions!$E$14)^E$6)/Assumptions!$E$16,0)</f>
        <v>0</v>
      </c>
      <c r="F13" s="3" t="n">
        <f aca="false">IF(F$6=Assumptions!$E$19,(Assumptions!$E$10*(1+Assumptions!$E$13)^F$6*(1-Assumptions!$E$11)-Assumptions!$E$12*(1+Assumptions!$E$14)^F$6)/Assumptions!$E$16,0)</f>
        <v>0</v>
      </c>
      <c r="G13" s="3" t="n">
        <f aca="false">IF(G$6=Assumptions!$E$19,(Assumptions!$E$10*(1+Assumptions!$E$13)^G$6*(1-Assumptions!$E$11)-Assumptions!$E$12*(1+Assumptions!$E$14)^G$6)/Assumptions!$E$16,0)</f>
        <v>0</v>
      </c>
      <c r="H13" s="3" t="n">
        <f aca="false">IF(H$6=Assumptions!$E$19,(Assumptions!$E$10*(1+Assumptions!$E$13)^H$6*(1-Assumptions!$E$11)-Assumptions!$E$12*(1+Assumptions!$E$14)^H$6)/Assumptions!$E$16,0)</f>
        <v>15556862.9272461</v>
      </c>
      <c r="I13" s="3" t="n">
        <f aca="false">IF(I$6=Assumptions!$E$19,(Assumptions!$E$10*(1+Assumptions!$E$13)^I$6*(1-Assumptions!$E$11)-Assumptions!$E$12*(1+Assumptions!$E$14)^I$6)/Assumptions!$E$16,0)</f>
        <v>0</v>
      </c>
      <c r="J13" s="3" t="n">
        <f aca="false">IF(J$6=Assumptions!$E$19,(Assumptions!$E$10*(1+Assumptions!$E$13)^J$6*(1-Assumptions!$E$11)-Assumptions!$E$12*(1+Assumptions!$E$14)^J$6)/Assumptions!$E$16,0)</f>
        <v>0</v>
      </c>
      <c r="K13" s="3" t="n">
        <f aca="false">IF(K$6=Assumptions!$E$19,(Assumptions!$E$10*(1+Assumptions!$E$13)^K$6*(1-Assumptions!$E$11)-Assumptions!$E$12*(1+Assumptions!$E$14)^K$6)/Assumptions!$E$16,0)</f>
        <v>0</v>
      </c>
      <c r="L13" s="0" t="n">
        <f aca="false">IF(L$6=Assumptions!$E$19,(Assumptions!$E$10*(1+Assumptions!$E$13)^L$6*(1-Assumptions!$E$11)-Assumptions!$E$12*(1+Assumptions!$E$14)^L$6)/Assumptions!$E$16,0)</f>
        <v>0</v>
      </c>
      <c r="M13" s="0" t="n">
        <f aca="false">IF(M$6=Assumptions!$E$19,(Assumptions!$E$10*(1+Assumptions!$E$13)^M$6*(1-Assumptions!$E$11)-Assumptions!$E$12*(1+Assumptions!$E$14)^M$6)/Assumptions!$E$16,0)</f>
        <v>0</v>
      </c>
    </row>
    <row r="14" customFormat="false" ht="25" hidden="false" customHeight="true" outlineLevel="0" collapsed="false">
      <c r="A14" s="1"/>
      <c r="B14" s="1" t="s">
        <v>40</v>
      </c>
      <c r="C14" s="3" t="n">
        <f aca="false">C13*Assumptions!$E$18</f>
        <v>0</v>
      </c>
      <c r="D14" s="3" t="n">
        <f aca="false">D13*Assumptions!$E$18</f>
        <v>0</v>
      </c>
      <c r="E14" s="3" t="n">
        <f aca="false">E13*Assumptions!$E$18</f>
        <v>0</v>
      </c>
      <c r="F14" s="3" t="n">
        <f aca="false">F13*Assumptions!$E$18</f>
        <v>0</v>
      </c>
      <c r="G14" s="3" t="n">
        <f aca="false">G13*Assumptions!$E$18</f>
        <v>0</v>
      </c>
      <c r="H14" s="3" t="n">
        <f aca="false">H13*Assumptions!$E$18</f>
        <v>311137.258544922</v>
      </c>
      <c r="I14" s="3" t="n">
        <f aca="false">I13*Assumptions!$E$18</f>
        <v>0</v>
      </c>
      <c r="J14" s="3" t="n">
        <f aca="false">J13*Assumptions!$E$18</f>
        <v>0</v>
      </c>
      <c r="K14" s="3" t="n">
        <f aca="false">K13*Assumptions!$E$18</f>
        <v>0</v>
      </c>
      <c r="L14" s="0" t="n">
        <f aca="false">L13*Assumptions!$E$18</f>
        <v>0</v>
      </c>
      <c r="M14" s="0" t="n">
        <f aca="false">M13*Assumptions!$E$18</f>
        <v>0</v>
      </c>
    </row>
    <row r="15" customFormat="false" ht="25" hidden="false" customHeight="true" outlineLevel="0" collapsed="false">
      <c r="A15" s="1"/>
      <c r="B15" s="1" t="s">
        <v>41</v>
      </c>
      <c r="C15" s="3" t="n">
        <f aca="false">Assumptions!$E$8*(1+Assumptions!$E$9)</f>
        <v>10600000</v>
      </c>
      <c r="D15" s="3" t="n">
        <f aca="false">0</f>
        <v>0</v>
      </c>
      <c r="E15" s="3" t="n">
        <f aca="false">0</f>
        <v>0</v>
      </c>
      <c r="F15" s="3" t="n">
        <f aca="false">0</f>
        <v>0</v>
      </c>
      <c r="G15" s="3" t="n">
        <f aca="false">0</f>
        <v>0</v>
      </c>
      <c r="H15" s="3" t="n">
        <f aca="false">0</f>
        <v>0</v>
      </c>
      <c r="I15" s="3" t="n">
        <f aca="false">0</f>
        <v>0</v>
      </c>
      <c r="J15" s="3" t="n">
        <f aca="false">0</f>
        <v>0</v>
      </c>
      <c r="K15" s="3" t="n">
        <f aca="false">0</f>
        <v>0</v>
      </c>
      <c r="L15" s="0" t="n">
        <f aca="false">0</f>
        <v>0</v>
      </c>
      <c r="M15" s="0" t="n">
        <f aca="false">0</f>
        <v>0</v>
      </c>
    </row>
    <row r="16" customFormat="false" ht="25" hidden="false" customHeight="true" outlineLevel="0" collapsed="false">
      <c r="A16" s="1"/>
      <c r="B16" s="1" t="s">
        <v>42</v>
      </c>
      <c r="C16" s="3" t="n">
        <f aca="false">SUM(C11,C13)-SUM(C12,C14:C15)</f>
        <v>-10600000</v>
      </c>
      <c r="D16" s="3" t="n">
        <f aca="false">SUM(D11,D13)-SUM(D12,D14:D15)</f>
        <v>775000</v>
      </c>
      <c r="E16" s="3" t="n">
        <f aca="false">SUM(E11,E13)-SUM(E12,E14:E15)</f>
        <v>795625</v>
      </c>
      <c r="F16" s="3" t="n">
        <f aca="false">SUM(F11,F13)-SUM(F12,F14:F15)</f>
        <v>816765.625</v>
      </c>
      <c r="G16" s="3" t="n">
        <f aca="false">SUM(G11,G13)-SUM(G12,G14:G15)</f>
        <v>838434.765625</v>
      </c>
      <c r="H16" s="3" t="n">
        <f aca="false">SUM(H11,H13)-SUM(H12,H14:H15)</f>
        <v>16106371.3034668</v>
      </c>
      <c r="I16" s="3" t="n">
        <f aca="false">SUM(I11,I13)-SUM(I12,I14:I15)</f>
        <v>0</v>
      </c>
      <c r="J16" s="3" t="n">
        <f aca="false">SUM(J11,J13)-SUM(J12,J14:J15)</f>
        <v>0</v>
      </c>
      <c r="K16" s="3" t="n">
        <f aca="false">SUM(K11,K13)-SUM(K12,K14:K15)</f>
        <v>0</v>
      </c>
      <c r="L16" s="0" t="n">
        <f aca="false">SUM(L11,L13)-SUM(L12,L14:L15)</f>
        <v>0</v>
      </c>
      <c r="M16" s="0" t="n">
        <f aca="false">SUM(M11,M13)-SUM(M12,M14:M15)</f>
        <v>0</v>
      </c>
    </row>
    <row r="17" customFormat="false" ht="25" hidden="false" customHeight="true" outlineLevel="0" collapsed="false">
      <c r="A17" s="1"/>
      <c r="B17" s="1" t="s">
        <v>43</v>
      </c>
      <c r="C17" s="3" t="n">
        <f aca="false">C16/(1+Assumptions!$E$17)^C$6</f>
        <v>-10600000</v>
      </c>
      <c r="D17" s="3" t="n">
        <f aca="false">D16/(1+Assumptions!$E$17)^D$6</f>
        <v>711009.174311927</v>
      </c>
      <c r="E17" s="3" t="n">
        <f aca="false">E16/(1+Assumptions!$E$17)^E$6</f>
        <v>669661.644642707</v>
      </c>
      <c r="F17" s="3" t="n">
        <f aca="false">F16/(1+Assumptions!$E$17)^F$6</f>
        <v>630692.92270675</v>
      </c>
      <c r="G17" s="3" t="n">
        <f aca="false">G16/(1+Assumptions!$E$17)^G$6</f>
        <v>593968.325802289</v>
      </c>
      <c r="H17" s="3" t="n">
        <f aca="false">H16/(1+Assumptions!$E$17)^H$6</f>
        <v>10468036.2294981</v>
      </c>
      <c r="I17" s="3" t="n">
        <f aca="false">I16/(1+Assumptions!$E$17)^I$6</f>
        <v>0</v>
      </c>
      <c r="J17" s="3" t="n">
        <f aca="false">J16/(1+Assumptions!$E$17)^J$6</f>
        <v>0</v>
      </c>
      <c r="K17" s="3" t="n">
        <f aca="false">K16/(1+Assumptions!$E$17)^K$6</f>
        <v>0</v>
      </c>
      <c r="L17" s="0" t="n">
        <f aca="false">L16/(1+Assumptions!$E$17)^L$6</f>
        <v>0</v>
      </c>
      <c r="M17" s="0" t="n">
        <f aca="false">M16/(1+Assumptions!$E$17)^M$6</f>
        <v>0</v>
      </c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45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7" t="n">
        <f aca="false">Assumptions!$E$16+-0.01</f>
        <v>0.05</v>
      </c>
      <c r="D9" s="17" t="n">
        <f aca="false">Assumptions!$E$16+-0.005</f>
        <v>0.055</v>
      </c>
      <c r="E9" s="17" t="n">
        <f aca="false">Assumptions!$E$16+0</f>
        <v>0.06</v>
      </c>
      <c r="F9" s="17" t="n">
        <f aca="false">Assumptions!$E$16+0.005</f>
        <v>0.065</v>
      </c>
      <c r="G9" s="17" t="n">
        <f aca="false">Assumptions!$E$16+0.01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7" t="n">
        <v>-0.1</v>
      </c>
      <c r="C10" s="3" t="n">
        <f aca="false">Forecast!D11*(1+$B10)/C$9</f>
        <v>14850000</v>
      </c>
      <c r="D10" s="3" t="n">
        <f aca="false">Forecast!D11*(1+$B10)/D$9</f>
        <v>13500000</v>
      </c>
      <c r="E10" s="3" t="n">
        <f aca="false">Forecast!D11*(1+$B10)/E$9</f>
        <v>12375000</v>
      </c>
      <c r="F10" s="3" t="n">
        <f aca="false">Forecast!D11*(1+$B10)/F$9</f>
        <v>11423076.9230769</v>
      </c>
      <c r="G10" s="3" t="n">
        <f aca="false">Forecast!D11*(1+$B10)/G$9</f>
        <v>10607142.8571429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7" t="n">
        <v>-0.05</v>
      </c>
      <c r="C11" s="3" t="n">
        <f aca="false">Forecast!D11*(1+$B11)/C$9</f>
        <v>15675000</v>
      </c>
      <c r="D11" s="3" t="n">
        <f aca="false">Forecast!D11*(1+$B11)/D$9</f>
        <v>14250000</v>
      </c>
      <c r="E11" s="3" t="n">
        <f aca="false">Forecast!D11*(1+$B11)/E$9</f>
        <v>13062500</v>
      </c>
      <c r="F11" s="3" t="n">
        <f aca="false">Forecast!D11*(1+$B11)/F$9</f>
        <v>12057692.3076923</v>
      </c>
      <c r="G11" s="3" t="n">
        <f aca="false">Forecast!D11*(1+$B11)/G$9</f>
        <v>11196428.5714286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7" t="n">
        <v>0</v>
      </c>
      <c r="C12" s="3" t="n">
        <f aca="false">Forecast!D11*(1+$B12)/C$9</f>
        <v>16500000</v>
      </c>
      <c r="D12" s="3" t="n">
        <f aca="false">Forecast!D11*(1+$B12)/D$9</f>
        <v>15000000</v>
      </c>
      <c r="E12" s="3" t="n">
        <f aca="false">Forecast!D11*(1+$B12)/E$9</f>
        <v>13750000</v>
      </c>
      <c r="F12" s="3" t="n">
        <f aca="false">Forecast!D11*(1+$B12)/F$9</f>
        <v>12692307.6923077</v>
      </c>
      <c r="G12" s="3" t="n">
        <f aca="false">Forecast!D11*(1+$B12)/G$9</f>
        <v>11785714.2857143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7" t="n">
        <v>0.05</v>
      </c>
      <c r="C13" s="3" t="n">
        <f aca="false">Forecast!D11*(1+$B13)/C$9</f>
        <v>17325000</v>
      </c>
      <c r="D13" s="3" t="n">
        <f aca="false">Forecast!D11*(1+$B13)/D$9</f>
        <v>15750000</v>
      </c>
      <c r="E13" s="3" t="n">
        <f aca="false">Forecast!D11*(1+$B13)/E$9</f>
        <v>14437500</v>
      </c>
      <c r="F13" s="3" t="n">
        <f aca="false">Forecast!D11*(1+$B13)/F$9</f>
        <v>13326923.0769231</v>
      </c>
      <c r="G13" s="3" t="n">
        <f aca="false">Forecast!D11*(1+$B13)/G$9</f>
        <v>12375000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7" t="n">
        <v>0.1</v>
      </c>
      <c r="C14" s="3" t="n">
        <f aca="false">Forecast!D11*(1+$B14)/C$9</f>
        <v>18150000</v>
      </c>
      <c r="D14" s="3" t="n">
        <f aca="false">Forecast!D11*(1+$B14)/D$9</f>
        <v>16500000</v>
      </c>
      <c r="E14" s="3" t="n">
        <f aca="false">Forecast!D11*(1+$B14)/E$9</f>
        <v>15125000</v>
      </c>
      <c r="F14" s="3" t="n">
        <f aca="false">Forecast!D11*(1+$B14)/F$9</f>
        <v>13961538.4615385</v>
      </c>
      <c r="G14" s="3" t="n">
        <f aca="false">Forecast!D11*(1+$B14)/G$9</f>
        <v>12964285.7142857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47</v>
      </c>
      <c r="C8" s="3" t="n">
        <f aca="false">SUM(Forecast!C11:M11,Forecast!C13:M13)-SUM(Forecast!C12:M12,Forecast!C14:M15)-SUM(Forecast!C16:M16)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3"/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48</v>
      </c>
      <c r="C12" s="18" t="str">
        <f aca="false">IF(OR(ISERROR(Dashboard!C10)),"IRR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49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50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3" t="s">
        <v>51</v>
      </c>
      <c r="C9" s="13"/>
      <c r="D9" s="13"/>
      <c r="E9" s="13"/>
      <c r="F9" s="13"/>
      <c r="G9" s="13"/>
      <c r="H9" s="13"/>
      <c r="I9" s="13"/>
      <c r="J9" s="13"/>
      <c r="K9" s="13"/>
    </row>
    <row r="10" customFormat="false" ht="25" hidden="false" customHeight="true" outlineLevel="0" collapsed="false">
      <c r="A10" s="1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3" t="s">
        <v>52</v>
      </c>
      <c r="C12" s="13"/>
      <c r="D12" s="13"/>
      <c r="E12" s="13"/>
      <c r="F12" s="13"/>
      <c r="G12" s="13"/>
      <c r="H12" s="13"/>
      <c r="I12" s="13"/>
      <c r="J12" s="13"/>
      <c r="K12" s="13"/>
    </row>
    <row r="13" customFormat="false" ht="25" hidden="false" customHeight="true" outlineLevel="0" collapsed="false">
      <c r="A13" s="1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3" t="s">
        <v>53</v>
      </c>
      <c r="C15" s="13"/>
      <c r="D15" s="13"/>
      <c r="E15" s="13"/>
      <c r="F15" s="13"/>
      <c r="G15" s="13"/>
      <c r="H15" s="13"/>
      <c r="I15" s="13"/>
      <c r="J15" s="13"/>
      <c r="K15" s="13"/>
    </row>
    <row r="16" customFormat="false" ht="25" hidden="false" customHeight="true" outlineLevel="0" collapsed="false">
      <c r="A16" s="1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3" t="s">
        <v>54</v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Format="false" ht="25" hidden="false" customHeight="true" outlineLevel="0" collapsed="false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