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mptions" sheetId="2" state="visible" r:id="rId4"/>
    <sheet name="Forecast" sheetId="3" state="visible" r:id="rId5"/>
    <sheet name="Sensitivity" sheetId="4" state="visible" r:id="rId6"/>
    <sheet name="Checks" sheetId="5" state="visible" r:id="rId7"/>
    <sheet name="ReadMe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<sst xmlns="http://schemas.openxmlformats.org/spreadsheetml/2006/main" count="66" uniqueCount="57">
  <si>
    <t xml:space="preserve">Ground Leases</t>
  </si>
  <si>
    <t xml:space="preserve">FORMULAPLANET  •  EUR  •  v1.2  •  Illustrative inputs  •  Pre-tax</t>
  </si>
  <si>
    <t xml:space="preserve">Active case (1 base / 2 downside)</t>
  </si>
  <si>
    <t xml:space="preserve">Equity invested</t>
  </si>
  <si>
    <t xml:space="preserve">Equity distributed</t>
  </si>
  <si>
    <t xml:space="preserve">Annualized equity IRR</t>
  </si>
  <si>
    <t xml:space="preserve">Equity multiple / MOIC</t>
  </si>
  <si>
    <t xml:space="preserve">Net equity profit</t>
  </si>
  <si>
    <t xml:space="preserve">Investment NPV</t>
  </si>
  <si>
    <t xml:space="preserve">DCF asset value before buying costs</t>
  </si>
  <si>
    <t xml:space="preserve">Year 1 net operating income</t>
  </si>
  <si>
    <t xml:space="preserve">Direct capitalization value</t>
  </si>
  <si>
    <t xml:space="preserve">Going-in cap rate</t>
  </si>
  <si>
    <t xml:space="preserve">Net initial yield</t>
  </si>
  <si>
    <t xml:space="preserve">Select base / downside in Assumptions. Review Checks before relying on returns. The workbook is a planning tool; figures do not verify market data.</t>
  </si>
  <si>
    <t xml:space="preserve">Assumptions</t>
  </si>
  <si>
    <t xml:space="preserve">Case: 1 base / 2 downside</t>
  </si>
  <si>
    <t xml:space="preserve">Base</t>
  </si>
  <si>
    <t xml:space="preserve">Downside</t>
  </si>
  <si>
    <t xml:space="preserve">Active</t>
  </si>
  <si>
    <t xml:space="preserve">Land acquisition price</t>
  </si>
  <si>
    <t xml:space="preserve">Acquisition cost rate</t>
  </si>
  <si>
    <t xml:space="preserve">Annual contractual ground rent</t>
  </si>
  <si>
    <t xml:space="preserve">Vacancy / collection loss</t>
  </si>
  <si>
    <t xml:space="preserve">Annual landlord operating costs</t>
  </si>
  <si>
    <t xml:space="preserve">Annual income / rent growth</t>
  </si>
  <si>
    <t xml:space="preserve">Annual cost inflation</t>
  </si>
  <si>
    <t xml:space="preserve">Annual recurring capex</t>
  </si>
  <si>
    <t xml:space="preserve">Terminal capitalization rate</t>
  </si>
  <si>
    <t xml:space="preserve">Discount rate</t>
  </si>
  <si>
    <t xml:space="preserve">Selling cost rate</t>
  </si>
  <si>
    <t xml:space="preserve">Lease / DCF term in years (1–10)</t>
  </si>
  <si>
    <t xml:space="preserve">Ground rent review interval (years)</t>
  </si>
  <si>
    <t xml:space="preserve">Ground lease land reversion value</t>
  </si>
  <si>
    <t xml:space="preserve">Forecast</t>
  </si>
  <si>
    <t xml:space="preserve">Year</t>
  </si>
  <si>
    <t xml:space="preserve">Gross rent</t>
  </si>
  <si>
    <t xml:space="preserve">Collection / vacancy loss</t>
  </si>
  <si>
    <t xml:space="preserve">Landlord operating costs</t>
  </si>
  <si>
    <t xml:space="preserve">NOI</t>
  </si>
  <si>
    <t xml:space="preserve">Recurring capex</t>
  </si>
  <si>
    <t xml:space="preserve">Gross terminal / reversion value</t>
  </si>
  <si>
    <t xml:space="preserve">Selling costs</t>
  </si>
  <si>
    <t xml:space="preserve">Acquisition incl. costs</t>
  </si>
  <si>
    <t xml:space="preserve">Net investment cash flow</t>
  </si>
  <si>
    <t xml:space="preserve">Present value</t>
  </si>
  <si>
    <t xml:space="preserve">Sensitivity</t>
  </si>
  <si>
    <t xml:space="preserve">Gross value sensitivity: forward annual income vs capitalization / yield. This isolates valuation; it is not a full-model IRR sensitivity.</t>
  </si>
  <si>
    <t xml:space="preserve">Checks</t>
  </si>
  <si>
    <t xml:space="preserve">Cash flow reconciliation (zero)</t>
  </si>
  <si>
    <t xml:space="preserve">Dashboard IRR calculation</t>
  </si>
  <si>
    <t xml:space="preserve">ReadMe</t>
  </si>
  <si>
    <t xml:space="preserve">Ground Leases — editable, formula-driven underwriting workbook. Change the yellow / blue cells in Assumptions. Select case 2 for a downside through the same schedules.</t>
  </si>
  <si>
    <t xml:space="preserve">Inputs are illustrative, not researched market evidence. All values are EUR, nominal and before income tax / VAT. Acquisition costs are an explicit assumption. No macros, external links or hidden worksheets.</t>
  </si>
  <si>
    <t xml:space="preserve">Cash flow timing is stated on the forecast. Review financing covenants, operating assumptions and local taxes for your project. IRR may be undefined or non-unique for cash flows with multiple sign changes.</t>
  </si>
  <si>
    <t xml:space="preserve">Blue = editable input; green = linked assumption; dark = calculated output. Negative values are parenthesized. Checks are diagnostic only and do not drive the model. FormulaPlanet free-use licence: use and edit for your own organisation, studies and client analysis; do not sell or redistribute the original files.</t>
  </si>
  <si>
    <t xml:space="preserve">Ground lease: landlord perspective, stepped rent at each review interval, finite lease term and explicit land / improvement reversion. Reversion is independent of rent capitalization. Term is 1–10 years; longer lease analysis requires extending the annual schedule.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</si>
</sst>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–"/>
    <numFmt numFmtId="166" formatCode="0.0%;\(0.0%\);\–"/>
    <numFmt numFmtId="167" formatCode="0.00\x"/>
    <numFmt numFmtId="168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93D30"/>
      <name val="Arial"/>
      <family val="0"/>
      <charset val="1"/>
    </font>
    <font>
      <b val="true"/>
      <sz val="19"/>
      <color rgb="FFFFFFFF"/>
      <name val="Arial"/>
      <family val="0"/>
      <charset val="1"/>
    </font>
    <font>
      <b val="true"/>
      <sz val="11"/>
      <color rgb="FF193D30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93D30"/>
        <bgColor rgb="FF003300"/>
      </patternFill>
    </fill>
    <fill>
      <patternFill patternType="solid">
        <fgColor rgb="FFE7EFDF"/>
        <bgColor rgb="FFF2F5ED"/>
      </patternFill>
    </fill>
    <fill>
      <patternFill patternType="solid">
        <fgColor rgb="FFF2F5ED"/>
        <bgColor rgb="FFE7EFDF"/>
      </patternFill>
    </fill>
    <fill>
      <patternFill patternType="solid">
        <fgColor rgb="FFFFF6D6"/>
        <bgColor rgb="FFF2F5ED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name val="Arial"/>
        <charset val="1"/>
        <family val="0"/>
        <b val="1"/>
        <color rgb="FFB42318"/>
        <sz val="11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F2F5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7EFDF"/>
      <rgbColor rgb="FFFC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93D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4" t="s">
        <v>3</v>
      </c>
      <c r="C8" s="5" t="n">
        <f aca="false">-SUMIF(Forecast!C16:M16,"&lt;0",Forecast!C16:M16)</f>
        <v>10600000</v>
      </c>
      <c r="D8" s="6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7" t="s">
        <v>4</v>
      </c>
      <c r="C9" s="8" t="n">
        <f aca="false">SUMIF(Forecast!C16:M16,"&gt;0",Forecast!C16:M16)</f>
        <v>18406992.1476982</v>
      </c>
      <c r="D9" s="9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4" t="s">
        <v>5</v>
      </c>
      <c r="C10" s="10" t="n">
        <f aca="false">IF(AND(C8&gt;0,C9&gt;0),(1+IFERROR(IRR(Forecast!C16:M16),IRR(Forecast!C16:M16,0)))^1-1,"n.a.")</f>
        <v>0.0699894539136157</v>
      </c>
      <c r="D10" s="6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7" t="s">
        <v>6</v>
      </c>
      <c r="C11" s="11" t="n">
        <f aca="false">IF(C8&gt;0,C9/C8,0)</f>
        <v>1.73650869317907</v>
      </c>
      <c r="D11" s="9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4" t="s">
        <v>7</v>
      </c>
      <c r="C12" s="5" t="n">
        <f aca="false">C9-C8</f>
        <v>7806992.14769817</v>
      </c>
      <c r="D12" s="6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4" t="s">
        <v>8</v>
      </c>
      <c r="C14" s="5" t="n">
        <f aca="false">SUM(Forecast!C17:M17)</f>
        <v>-1421686.43937911</v>
      </c>
      <c r="D14" s="6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7" t="s">
        <v>9</v>
      </c>
      <c r="C15" s="8" t="n">
        <f aca="false">SUM(Forecast!D17:M17)</f>
        <v>9178313.5606209</v>
      </c>
      <c r="D15" s="9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4" t="s">
        <v>10</v>
      </c>
      <c r="C16" s="5" t="n">
        <f aca="false">Forecast!D11</f>
        <v>625000</v>
      </c>
      <c r="D16" s="6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7" t="s">
        <v>11</v>
      </c>
      <c r="C17" s="8" t="n">
        <f aca="false">C16/Assumptions!$E$16</f>
        <v>10416666.6666667</v>
      </c>
      <c r="D17" s="9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4" t="s">
        <v>12</v>
      </c>
      <c r="C18" s="10" t="n">
        <f aca="false">C16/Assumptions!$E$8</f>
        <v>0.0625</v>
      </c>
      <c r="D18" s="6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7" t="s">
        <v>13</v>
      </c>
      <c r="C19" s="12" t="n">
        <f aca="false">(C16-Assumptions!$E$15)/C8</f>
        <v>0.0589622641509434</v>
      </c>
      <c r="D19" s="9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</row>
    <row r="27" customFormat="false" ht="25" hidden="false" customHeight="true" outlineLevel="0" collapsed="false">
      <c r="A27" s="1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26:K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/>
      <c r="C5" s="3"/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16</v>
      </c>
      <c r="C6" s="14" t="n">
        <v>1</v>
      </c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 t="s">
        <v>17</v>
      </c>
      <c r="D7" s="3" t="s">
        <v>18</v>
      </c>
      <c r="E7" s="3" t="s">
        <v>19</v>
      </c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20</v>
      </c>
      <c r="C8" s="15" t="n">
        <v>10000000</v>
      </c>
      <c r="D8" s="15" t="n">
        <v>10000000</v>
      </c>
      <c r="E8" s="3" t="n">
        <f aca="false">IF($C$6=2,D8,C8)</f>
        <v>10000000</v>
      </c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21</v>
      </c>
      <c r="C9" s="16" t="n">
        <v>0.06</v>
      </c>
      <c r="D9" s="16" t="n">
        <v>0.06</v>
      </c>
      <c r="E9" s="17" t="n">
        <f aca="false">IF($C$6=2,D9,C9)</f>
        <v>0.06</v>
      </c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22</v>
      </c>
      <c r="C10" s="15" t="n">
        <v>650000</v>
      </c>
      <c r="D10" s="15" t="n">
        <v>585000</v>
      </c>
      <c r="E10" s="3" t="n">
        <f aca="false">IF($C$6=2,D10,C10)</f>
        <v>650000</v>
      </c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23</v>
      </c>
      <c r="C11" s="16" t="n">
        <v>0</v>
      </c>
      <c r="D11" s="16" t="n">
        <v>0.02</v>
      </c>
      <c r="E11" s="17" t="n">
        <f aca="false">IF($C$6=2,D11,C11)</f>
        <v>0</v>
      </c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24</v>
      </c>
      <c r="C12" s="15" t="n">
        <v>25000</v>
      </c>
      <c r="D12" s="15" t="n">
        <v>30000</v>
      </c>
      <c r="E12" s="3" t="n">
        <f aca="false">IF($C$6=2,D12,C12)</f>
        <v>25000</v>
      </c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 t="s">
        <v>25</v>
      </c>
      <c r="C13" s="16" t="n">
        <v>0.025</v>
      </c>
      <c r="D13" s="16" t="n">
        <v>0.01</v>
      </c>
      <c r="E13" s="17" t="n">
        <f aca="false">IF($C$6=2,D13,C13)</f>
        <v>0.025</v>
      </c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 t="s">
        <v>26</v>
      </c>
      <c r="C14" s="16" t="n">
        <v>0.025</v>
      </c>
      <c r="D14" s="16" t="n">
        <v>0.04</v>
      </c>
      <c r="E14" s="17" t="n">
        <f aca="false">IF($C$6=2,D14,C14)</f>
        <v>0.025</v>
      </c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 t="s">
        <v>27</v>
      </c>
      <c r="C15" s="15" t="n">
        <v>0</v>
      </c>
      <c r="D15" s="15" t="n">
        <v>0</v>
      </c>
      <c r="E15" s="3" t="n">
        <f aca="false">IF($C$6=2,D15,C15)</f>
        <v>0</v>
      </c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 t="s">
        <v>28</v>
      </c>
      <c r="C16" s="16" t="n">
        <v>0.06</v>
      </c>
      <c r="D16" s="16" t="n">
        <v>0.07</v>
      </c>
      <c r="E16" s="17" t="n">
        <f aca="false">IF($C$6=2,D16,C16)</f>
        <v>0.06</v>
      </c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 t="s">
        <v>29</v>
      </c>
      <c r="C17" s="16" t="n">
        <v>0.09</v>
      </c>
      <c r="D17" s="16" t="n">
        <v>0.11</v>
      </c>
      <c r="E17" s="17" t="n">
        <f aca="false">IF($C$6=2,D17,C17)</f>
        <v>0.09</v>
      </c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 t="s">
        <v>30</v>
      </c>
      <c r="C18" s="16" t="n">
        <v>0.02</v>
      </c>
      <c r="D18" s="16" t="n">
        <v>0.02</v>
      </c>
      <c r="E18" s="17" t="n">
        <f aca="false">IF($C$6=2,D18,C18)</f>
        <v>0.02</v>
      </c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 t="s">
        <v>31</v>
      </c>
      <c r="C19" s="15" t="n">
        <v>10</v>
      </c>
      <c r="D19" s="15" t="n">
        <v>10</v>
      </c>
      <c r="E19" s="3" t="n">
        <f aca="false">IF($C$6=2,D19,C19)</f>
        <v>10</v>
      </c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 t="s">
        <v>32</v>
      </c>
      <c r="C20" s="15" t="n">
        <v>5</v>
      </c>
      <c r="D20" s="15" t="n">
        <v>5</v>
      </c>
      <c r="E20" s="3" t="n">
        <f aca="false">IF($C$6=2,D20,C20)</f>
        <v>5</v>
      </c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 t="s">
        <v>33</v>
      </c>
      <c r="C21" s="15" t="n">
        <v>12000000</v>
      </c>
      <c r="D21" s="15" t="n">
        <v>10000000</v>
      </c>
      <c r="E21" s="3" t="n">
        <f aca="false">IF($C$6=2,D21,C21)</f>
        <v>12000000</v>
      </c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dataValidations count="1">
    <dataValidation allowBlank="false" errorStyle="stop" operator="between" showDropDown="false" showErrorMessage="false" showInputMessage="false" sqref="C6" type="list">
      <formula1>"1,2"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34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35</v>
      </c>
      <c r="C6" s="3" t="n">
        <f aca="false">0</f>
        <v>0</v>
      </c>
      <c r="D6" s="3" t="n">
        <f aca="false">1</f>
        <v>1</v>
      </c>
      <c r="E6" s="3" t="n">
        <f aca="false">2</f>
        <v>2</v>
      </c>
      <c r="F6" s="3" t="n">
        <f aca="false">3</f>
        <v>3</v>
      </c>
      <c r="G6" s="3" t="n">
        <f aca="false">4</f>
        <v>4</v>
      </c>
      <c r="H6" s="3" t="n">
        <f aca="false">5</f>
        <v>5</v>
      </c>
      <c r="I6" s="3" t="n">
        <f aca="false">6</f>
        <v>6</v>
      </c>
      <c r="J6" s="3" t="n">
        <f aca="false">7</f>
        <v>7</v>
      </c>
      <c r="K6" s="3" t="n">
        <f aca="false">8</f>
        <v>8</v>
      </c>
      <c r="L6" s="0" t="n">
        <f aca="false">9</f>
        <v>9</v>
      </c>
      <c r="M6" s="0" t="n">
        <f aca="false">10</f>
        <v>10</v>
      </c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36</v>
      </c>
      <c r="C8" s="3" t="n">
        <f aca="false">0</f>
        <v>0</v>
      </c>
      <c r="D8" s="3" t="n">
        <f aca="false">IF(D$6&lt;=Assumptions!$E$19,Assumptions!$E$10*(1+Assumptions!$E$13)^(INT((D$6-1)/Assumptions!$E$20)*Assumptions!$E$20),0)</f>
        <v>650000</v>
      </c>
      <c r="E8" s="3" t="n">
        <f aca="false">IF(E$6&lt;=Assumptions!$E$19,Assumptions!$E$10*(1+Assumptions!$E$13)^(INT((E$6-1)/Assumptions!$E$20)*Assumptions!$E$20),0)</f>
        <v>650000</v>
      </c>
      <c r="F8" s="3" t="n">
        <f aca="false">IF(F$6&lt;=Assumptions!$E$19,Assumptions!$E$10*(1+Assumptions!$E$13)^(INT((F$6-1)/Assumptions!$E$20)*Assumptions!$E$20),0)</f>
        <v>650000</v>
      </c>
      <c r="G8" s="3" t="n">
        <f aca="false">IF(G$6&lt;=Assumptions!$E$19,Assumptions!$E$10*(1+Assumptions!$E$13)^(INT((G$6-1)/Assumptions!$E$20)*Assumptions!$E$20),0)</f>
        <v>650000</v>
      </c>
      <c r="H8" s="3" t="n">
        <f aca="false">IF(H$6&lt;=Assumptions!$E$19,Assumptions!$E$10*(1+Assumptions!$E$13)^(INT((H$6-1)/Assumptions!$E$20)*Assumptions!$E$20),0)</f>
        <v>650000</v>
      </c>
      <c r="I8" s="3" t="n">
        <f aca="false">IF(I$6&lt;=Assumptions!$E$19,Assumptions!$E$10*(1+Assumptions!$E$13)^(INT((I$6-1)/Assumptions!$E$20)*Assumptions!$E$20),0)</f>
        <v>735415.338378906</v>
      </c>
      <c r="J8" s="3" t="n">
        <f aca="false">IF(J$6&lt;=Assumptions!$E$19,Assumptions!$E$10*(1+Assumptions!$E$13)^(INT((J$6-1)/Assumptions!$E$20)*Assumptions!$E$20),0)</f>
        <v>735415.338378906</v>
      </c>
      <c r="K8" s="3" t="n">
        <f aca="false">IF(K$6&lt;=Assumptions!$E$19,Assumptions!$E$10*(1+Assumptions!$E$13)^(INT((K$6-1)/Assumptions!$E$20)*Assumptions!$E$20),0)</f>
        <v>735415.338378906</v>
      </c>
      <c r="L8" s="0" t="n">
        <f aca="false">IF(L$6&lt;=Assumptions!$E$19,Assumptions!$E$10*(1+Assumptions!$E$13)^(INT((L$6-1)/Assumptions!$E$20)*Assumptions!$E$20),0)</f>
        <v>735415.338378906</v>
      </c>
      <c r="M8" s="0" t="n">
        <f aca="false">IF(M$6&lt;=Assumptions!$E$19,Assumptions!$E$10*(1+Assumptions!$E$13)^(INT((M$6-1)/Assumptions!$E$20)*Assumptions!$E$20),0)</f>
        <v>735415.338378906</v>
      </c>
    </row>
    <row r="9" customFormat="false" ht="25" hidden="false" customHeight="true" outlineLevel="0" collapsed="false">
      <c r="A9" s="1"/>
      <c r="B9" s="1" t="s">
        <v>37</v>
      </c>
      <c r="C9" s="3" t="n">
        <f aca="false">C8*Assumptions!$E$11</f>
        <v>0</v>
      </c>
      <c r="D9" s="3" t="n">
        <f aca="false">D8*Assumptions!$E$11</f>
        <v>0</v>
      </c>
      <c r="E9" s="3" t="n">
        <f aca="false">E8*Assumptions!$E$11</f>
        <v>0</v>
      </c>
      <c r="F9" s="3" t="n">
        <f aca="false">F8*Assumptions!$E$11</f>
        <v>0</v>
      </c>
      <c r="G9" s="3" t="n">
        <f aca="false">G8*Assumptions!$E$11</f>
        <v>0</v>
      </c>
      <c r="H9" s="3" t="n">
        <f aca="false">H8*Assumptions!$E$11</f>
        <v>0</v>
      </c>
      <c r="I9" s="3" t="n">
        <f aca="false">I8*Assumptions!$E$11</f>
        <v>0</v>
      </c>
      <c r="J9" s="3" t="n">
        <f aca="false">J8*Assumptions!$E$11</f>
        <v>0</v>
      </c>
      <c r="K9" s="3" t="n">
        <f aca="false">K8*Assumptions!$E$11</f>
        <v>0</v>
      </c>
      <c r="L9" s="0" t="n">
        <f aca="false">L8*Assumptions!$E$11</f>
        <v>0</v>
      </c>
      <c r="M9" s="0" t="n">
        <f aca="false">M8*Assumptions!$E$11</f>
        <v>0</v>
      </c>
    </row>
    <row r="10" customFormat="false" ht="25" hidden="false" customHeight="true" outlineLevel="0" collapsed="false">
      <c r="A10" s="1"/>
      <c r="B10" s="1" t="s">
        <v>38</v>
      </c>
      <c r="C10" s="3" t="n">
        <f aca="false">0</f>
        <v>0</v>
      </c>
      <c r="D10" s="3" t="n">
        <f aca="false">IF(D$6&lt;=Assumptions!$E$19,Assumptions!$E$12*(1+Assumptions!$E$14)^(D$6-1),0)</f>
        <v>25000</v>
      </c>
      <c r="E10" s="3" t="n">
        <f aca="false">IF(E$6&lt;=Assumptions!$E$19,Assumptions!$E$12*(1+Assumptions!$E$14)^(E$6-1),0)</f>
        <v>25625</v>
      </c>
      <c r="F10" s="3" t="n">
        <f aca="false">IF(F$6&lt;=Assumptions!$E$19,Assumptions!$E$12*(1+Assumptions!$E$14)^(F$6-1),0)</f>
        <v>26265.625</v>
      </c>
      <c r="G10" s="3" t="n">
        <f aca="false">IF(G$6&lt;=Assumptions!$E$19,Assumptions!$E$12*(1+Assumptions!$E$14)^(G$6-1),0)</f>
        <v>26922.265625</v>
      </c>
      <c r="H10" s="3" t="n">
        <f aca="false">IF(H$6&lt;=Assumptions!$E$19,Assumptions!$E$12*(1+Assumptions!$E$14)^(H$6-1),0)</f>
        <v>27595.322265625</v>
      </c>
      <c r="I10" s="3" t="n">
        <f aca="false">IF(I$6&lt;=Assumptions!$E$19,Assumptions!$E$12*(1+Assumptions!$E$14)^(I$6-1),0)</f>
        <v>28285.2053222656</v>
      </c>
      <c r="J10" s="3" t="n">
        <f aca="false">IF(J$6&lt;=Assumptions!$E$19,Assumptions!$E$12*(1+Assumptions!$E$14)^(J$6-1),0)</f>
        <v>28992.3354553223</v>
      </c>
      <c r="K10" s="3" t="n">
        <f aca="false">IF(K$6&lt;=Assumptions!$E$19,Assumptions!$E$12*(1+Assumptions!$E$14)^(K$6-1),0)</f>
        <v>29717.1438417053</v>
      </c>
      <c r="L10" s="0" t="n">
        <f aca="false">IF(L$6&lt;=Assumptions!$E$19,Assumptions!$E$12*(1+Assumptions!$E$14)^(L$6-1),0)</f>
        <v>30460.0724377479</v>
      </c>
      <c r="M10" s="0" t="n">
        <f aca="false">IF(M$6&lt;=Assumptions!$E$19,Assumptions!$E$12*(1+Assumptions!$E$14)^(M$6-1),0)</f>
        <v>31221.5742486916</v>
      </c>
    </row>
    <row r="11" customFormat="false" ht="25" hidden="false" customHeight="true" outlineLevel="0" collapsed="false">
      <c r="A11" s="1"/>
      <c r="B11" s="1" t="s">
        <v>39</v>
      </c>
      <c r="C11" s="3" t="n">
        <f aca="false">C8-SUM(C9:C10)</f>
        <v>0</v>
      </c>
      <c r="D11" s="3" t="n">
        <f aca="false">D8-SUM(D9:D10)</f>
        <v>625000</v>
      </c>
      <c r="E11" s="3" t="n">
        <f aca="false">E8-SUM(E9:E10)</f>
        <v>624375</v>
      </c>
      <c r="F11" s="3" t="n">
        <f aca="false">F8-SUM(F9:F10)</f>
        <v>623734.375</v>
      </c>
      <c r="G11" s="3" t="n">
        <f aca="false">G8-SUM(G9:G10)</f>
        <v>623077.734375</v>
      </c>
      <c r="H11" s="3" t="n">
        <f aca="false">H8-SUM(H9:H10)</f>
        <v>622404.677734375</v>
      </c>
      <c r="I11" s="3" t="n">
        <f aca="false">I8-SUM(I9:I10)</f>
        <v>707130.13305664</v>
      </c>
      <c r="J11" s="3" t="n">
        <f aca="false">J8-SUM(J9:J10)</f>
        <v>706423.002923584</v>
      </c>
      <c r="K11" s="3" t="n">
        <f aca="false">K8-SUM(K9:K10)</f>
        <v>705698.194537201</v>
      </c>
      <c r="L11" s="0" t="n">
        <f aca="false">L8-SUM(L9:L10)</f>
        <v>704955.265941158</v>
      </c>
      <c r="M11" s="0" t="n">
        <f aca="false">M8-SUM(M9:M10)</f>
        <v>704193.764130214</v>
      </c>
    </row>
    <row r="12" customFormat="false" ht="25" hidden="false" customHeight="true" outlineLevel="0" collapsed="false">
      <c r="A12" s="1"/>
      <c r="B12" s="1" t="s">
        <v>40</v>
      </c>
      <c r="C12" s="3" t="n">
        <f aca="false">0</f>
        <v>0</v>
      </c>
      <c r="D12" s="3" t="n">
        <f aca="false">IF(D$6&lt;=Assumptions!$E$19,Assumptions!$E$15,0)</f>
        <v>0</v>
      </c>
      <c r="E12" s="3" t="n">
        <f aca="false">IF(E$6&lt;=Assumptions!$E$19,Assumptions!$E$15,0)</f>
        <v>0</v>
      </c>
      <c r="F12" s="3" t="n">
        <f aca="false">IF(F$6&lt;=Assumptions!$E$19,Assumptions!$E$15,0)</f>
        <v>0</v>
      </c>
      <c r="G12" s="3" t="n">
        <f aca="false">IF(G$6&lt;=Assumptions!$E$19,Assumptions!$E$15,0)</f>
        <v>0</v>
      </c>
      <c r="H12" s="3" t="n">
        <f aca="false">IF(H$6&lt;=Assumptions!$E$19,Assumptions!$E$15,0)</f>
        <v>0</v>
      </c>
      <c r="I12" s="3" t="n">
        <f aca="false">IF(I$6&lt;=Assumptions!$E$19,Assumptions!$E$15,0)</f>
        <v>0</v>
      </c>
      <c r="J12" s="3" t="n">
        <f aca="false">IF(J$6&lt;=Assumptions!$E$19,Assumptions!$E$15,0)</f>
        <v>0</v>
      </c>
      <c r="K12" s="3" t="n">
        <f aca="false">IF(K$6&lt;=Assumptions!$E$19,Assumptions!$E$15,0)</f>
        <v>0</v>
      </c>
      <c r="L12" s="0" t="n">
        <f aca="false">IF(L$6&lt;=Assumptions!$E$19,Assumptions!$E$15,0)</f>
        <v>0</v>
      </c>
      <c r="M12" s="0" t="n">
        <f aca="false">IF(M$6&lt;=Assumptions!$E$19,Assumptions!$E$15,0)</f>
        <v>0</v>
      </c>
    </row>
    <row r="13" customFormat="false" ht="25" hidden="false" customHeight="true" outlineLevel="0" collapsed="false">
      <c r="A13" s="1"/>
      <c r="B13" s="1" t="s">
        <v>41</v>
      </c>
      <c r="C13" s="3" t="n">
        <f aca="false">0</f>
        <v>0</v>
      </c>
      <c r="D13" s="3" t="n">
        <f aca="false">IF(D$6=Assumptions!$E$19,Assumptions!$E$21,0)</f>
        <v>0</v>
      </c>
      <c r="E13" s="3" t="n">
        <f aca="false">IF(E$6=Assumptions!$E$19,Assumptions!$E$21,0)</f>
        <v>0</v>
      </c>
      <c r="F13" s="3" t="n">
        <f aca="false">IF(F$6=Assumptions!$E$19,Assumptions!$E$21,0)</f>
        <v>0</v>
      </c>
      <c r="G13" s="3" t="n">
        <f aca="false">IF(G$6=Assumptions!$E$19,Assumptions!$E$21,0)</f>
        <v>0</v>
      </c>
      <c r="H13" s="3" t="n">
        <f aca="false">IF(H$6=Assumptions!$E$19,Assumptions!$E$21,0)</f>
        <v>0</v>
      </c>
      <c r="I13" s="3" t="n">
        <f aca="false">IF(I$6=Assumptions!$E$19,Assumptions!$E$21,0)</f>
        <v>0</v>
      </c>
      <c r="J13" s="3" t="n">
        <f aca="false">IF(J$6=Assumptions!$E$19,Assumptions!$E$21,0)</f>
        <v>0</v>
      </c>
      <c r="K13" s="3" t="n">
        <f aca="false">IF(K$6=Assumptions!$E$19,Assumptions!$E$21,0)</f>
        <v>0</v>
      </c>
      <c r="L13" s="0" t="n">
        <f aca="false">IF(L$6=Assumptions!$E$19,Assumptions!$E$21,0)</f>
        <v>0</v>
      </c>
      <c r="M13" s="0" t="n">
        <f aca="false">IF(M$6=Assumptions!$E$19,Assumptions!$E$21,0)</f>
        <v>12000000</v>
      </c>
    </row>
    <row r="14" customFormat="false" ht="25" hidden="false" customHeight="true" outlineLevel="0" collapsed="false">
      <c r="A14" s="1"/>
      <c r="B14" s="1" t="s">
        <v>42</v>
      </c>
      <c r="C14" s="3" t="n">
        <f aca="false">C13*Assumptions!$E$18</f>
        <v>0</v>
      </c>
      <c r="D14" s="3" t="n">
        <f aca="false">D13*Assumptions!$E$18</f>
        <v>0</v>
      </c>
      <c r="E14" s="3" t="n">
        <f aca="false">E13*Assumptions!$E$18</f>
        <v>0</v>
      </c>
      <c r="F14" s="3" t="n">
        <f aca="false">F13*Assumptions!$E$18</f>
        <v>0</v>
      </c>
      <c r="G14" s="3" t="n">
        <f aca="false">G13*Assumptions!$E$18</f>
        <v>0</v>
      </c>
      <c r="H14" s="3" t="n">
        <f aca="false">H13*Assumptions!$E$18</f>
        <v>0</v>
      </c>
      <c r="I14" s="3" t="n">
        <f aca="false">I13*Assumptions!$E$18</f>
        <v>0</v>
      </c>
      <c r="J14" s="3" t="n">
        <f aca="false">J13*Assumptions!$E$18</f>
        <v>0</v>
      </c>
      <c r="K14" s="3" t="n">
        <f aca="false">K13*Assumptions!$E$18</f>
        <v>0</v>
      </c>
      <c r="L14" s="0" t="n">
        <f aca="false">L13*Assumptions!$E$18</f>
        <v>0</v>
      </c>
      <c r="M14" s="0" t="n">
        <f aca="false">M13*Assumptions!$E$18</f>
        <v>240000</v>
      </c>
    </row>
    <row r="15" customFormat="false" ht="25" hidden="false" customHeight="true" outlineLevel="0" collapsed="false">
      <c r="A15" s="1"/>
      <c r="B15" s="1" t="s">
        <v>43</v>
      </c>
      <c r="C15" s="3" t="n">
        <f aca="false">Assumptions!$E$8*(1+Assumptions!$E$9)</f>
        <v>10600000</v>
      </c>
      <c r="D15" s="3" t="n">
        <f aca="false">0</f>
        <v>0</v>
      </c>
      <c r="E15" s="3" t="n">
        <f aca="false">0</f>
        <v>0</v>
      </c>
      <c r="F15" s="3" t="n">
        <f aca="false">0</f>
        <v>0</v>
      </c>
      <c r="G15" s="3" t="n">
        <f aca="false">0</f>
        <v>0</v>
      </c>
      <c r="H15" s="3" t="n">
        <f aca="false">0</f>
        <v>0</v>
      </c>
      <c r="I15" s="3" t="n">
        <f aca="false">0</f>
        <v>0</v>
      </c>
      <c r="J15" s="3" t="n">
        <f aca="false">0</f>
        <v>0</v>
      </c>
      <c r="K15" s="3" t="n">
        <f aca="false">0</f>
        <v>0</v>
      </c>
      <c r="L15" s="0" t="n">
        <f aca="false">0</f>
        <v>0</v>
      </c>
      <c r="M15" s="0" t="n">
        <f aca="false">0</f>
        <v>0</v>
      </c>
    </row>
    <row r="16" customFormat="false" ht="25" hidden="false" customHeight="true" outlineLevel="0" collapsed="false">
      <c r="A16" s="1"/>
      <c r="B16" s="1" t="s">
        <v>44</v>
      </c>
      <c r="C16" s="3" t="n">
        <f aca="false">SUM(C11,C13)-SUM(C12,C14:C15)</f>
        <v>-10600000</v>
      </c>
      <c r="D16" s="3" t="n">
        <f aca="false">SUM(D11,D13)-SUM(D12,D14:D15)</f>
        <v>625000</v>
      </c>
      <c r="E16" s="3" t="n">
        <f aca="false">SUM(E11,E13)-SUM(E12,E14:E15)</f>
        <v>624375</v>
      </c>
      <c r="F16" s="3" t="n">
        <f aca="false">SUM(F11,F13)-SUM(F12,F14:F15)</f>
        <v>623734.375</v>
      </c>
      <c r="G16" s="3" t="n">
        <f aca="false">SUM(G11,G13)-SUM(G12,G14:G15)</f>
        <v>623077.734375</v>
      </c>
      <c r="H16" s="3" t="n">
        <f aca="false">SUM(H11,H13)-SUM(H12,H14:H15)</f>
        <v>622404.677734375</v>
      </c>
      <c r="I16" s="3" t="n">
        <f aca="false">SUM(I11,I13)-SUM(I12,I14:I15)</f>
        <v>707130.13305664</v>
      </c>
      <c r="J16" s="3" t="n">
        <f aca="false">SUM(J11,J13)-SUM(J12,J14:J15)</f>
        <v>706423.002923584</v>
      </c>
      <c r="K16" s="3" t="n">
        <f aca="false">SUM(K11,K13)-SUM(K12,K14:K15)</f>
        <v>705698.194537201</v>
      </c>
      <c r="L16" s="0" t="n">
        <f aca="false">SUM(L11,L13)-SUM(L12,L14:L15)</f>
        <v>704955.265941158</v>
      </c>
      <c r="M16" s="0" t="n">
        <f aca="false">SUM(M11,M13)-SUM(M12,M14:M15)</f>
        <v>12464193.7641302</v>
      </c>
    </row>
    <row r="17" customFormat="false" ht="25" hidden="false" customHeight="true" outlineLevel="0" collapsed="false">
      <c r="A17" s="1"/>
      <c r="B17" s="1" t="s">
        <v>45</v>
      </c>
      <c r="C17" s="3" t="n">
        <f aca="false">C16/(1+Assumptions!$E$17)^C$6</f>
        <v>-10600000</v>
      </c>
      <c r="D17" s="3" t="n">
        <f aca="false">D16/(1+Assumptions!$E$17)^D$6</f>
        <v>573394.495412844</v>
      </c>
      <c r="E17" s="3" t="n">
        <f aca="false">E16/(1+Assumptions!$E$17)^E$6</f>
        <v>525523.945795808</v>
      </c>
      <c r="F17" s="3" t="n">
        <f aca="false">F16/(1+Assumptions!$E$17)^F$6</f>
        <v>481637.380321213</v>
      </c>
      <c r="G17" s="3" t="n">
        <f aca="false">G16/(1+Assumptions!$E$17)^G$6</f>
        <v>441403.975484634</v>
      </c>
      <c r="H17" s="3" t="n">
        <f aca="false">H16/(1+Assumptions!$E$17)^H$6</f>
        <v>404520.335038477</v>
      </c>
      <c r="I17" s="3" t="n">
        <f aca="false">I16/(1+Assumptions!$E$17)^I$6</f>
        <v>421638.594193427</v>
      </c>
      <c r="J17" s="3" t="n">
        <f aca="false">J16/(1+Assumptions!$E$17)^J$6</f>
        <v>386437.573944251</v>
      </c>
      <c r="K17" s="3" t="n">
        <f aca="false">K16/(1+Assumptions!$E$17)^K$6</f>
        <v>354166.127464174</v>
      </c>
      <c r="L17" s="0" t="n">
        <f aca="false">L16/(1+Assumptions!$E$17)^L$6</f>
        <v>324580.987755611</v>
      </c>
      <c r="M17" s="0" t="n">
        <f aca="false">M16/(1+Assumptions!$E$17)^M$6</f>
        <v>5265010.14521046</v>
      </c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3" t="s">
        <v>47</v>
      </c>
      <c r="C6" s="13"/>
      <c r="D6" s="13"/>
      <c r="E6" s="13"/>
      <c r="F6" s="13"/>
      <c r="G6" s="13"/>
      <c r="H6" s="13"/>
      <c r="I6" s="13"/>
      <c r="J6" s="13"/>
      <c r="K6" s="13"/>
    </row>
    <row r="7" customFormat="false" ht="25" hidden="false" customHeight="true" outlineLevel="0" collapsed="false">
      <c r="A7" s="1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17" t="n">
        <f aca="false">Assumptions!$E$16+-0.01</f>
        <v>0.05</v>
      </c>
      <c r="D9" s="17" t="n">
        <f aca="false">Assumptions!$E$16+-0.005</f>
        <v>0.055</v>
      </c>
      <c r="E9" s="17" t="n">
        <f aca="false">Assumptions!$E$16+0</f>
        <v>0.06</v>
      </c>
      <c r="F9" s="17" t="n">
        <f aca="false">Assumptions!$E$16+0.005</f>
        <v>0.065</v>
      </c>
      <c r="G9" s="17" t="n">
        <f aca="false">Assumptions!$E$16+0.01</f>
        <v>0.07</v>
      </c>
      <c r="H9" s="3"/>
      <c r="I9" s="3"/>
      <c r="J9" s="3"/>
      <c r="K9" s="3"/>
    </row>
    <row r="10" customFormat="false" ht="25" hidden="false" customHeight="true" outlineLevel="0" collapsed="false">
      <c r="A10" s="1"/>
      <c r="B10" s="17" t="n">
        <v>-0.1</v>
      </c>
      <c r="C10" s="3" t="n">
        <f aca="false">Forecast!D11*(1+$B10)/C$9</f>
        <v>11250000</v>
      </c>
      <c r="D10" s="3" t="n">
        <f aca="false">Forecast!D11*(1+$B10)/D$9</f>
        <v>10227272.7272727</v>
      </c>
      <c r="E10" s="3" t="n">
        <f aca="false">Forecast!D11*(1+$B10)/E$9</f>
        <v>9375000</v>
      </c>
      <c r="F10" s="3" t="n">
        <f aca="false">Forecast!D11*(1+$B10)/F$9</f>
        <v>8653846.15384615</v>
      </c>
      <c r="G10" s="3" t="n">
        <f aca="false">Forecast!D11*(1+$B10)/G$9</f>
        <v>8035714.28571429</v>
      </c>
      <c r="H10" s="3"/>
      <c r="I10" s="3"/>
      <c r="J10" s="3"/>
      <c r="K10" s="3"/>
    </row>
    <row r="11" customFormat="false" ht="25" hidden="false" customHeight="true" outlineLevel="0" collapsed="false">
      <c r="A11" s="1"/>
      <c r="B11" s="17" t="n">
        <v>-0.05</v>
      </c>
      <c r="C11" s="3" t="n">
        <f aca="false">Forecast!D11*(1+$B11)/C$9</f>
        <v>11875000</v>
      </c>
      <c r="D11" s="3" t="n">
        <f aca="false">Forecast!D11*(1+$B11)/D$9</f>
        <v>10795454.5454545</v>
      </c>
      <c r="E11" s="3" t="n">
        <f aca="false">Forecast!D11*(1+$B11)/E$9</f>
        <v>9895833.33333333</v>
      </c>
      <c r="F11" s="3" t="n">
        <f aca="false">Forecast!D11*(1+$B11)/F$9</f>
        <v>9134615.38461538</v>
      </c>
      <c r="G11" s="3" t="n">
        <f aca="false">Forecast!D11*(1+$B11)/G$9</f>
        <v>8482142.85714286</v>
      </c>
      <c r="H11" s="3"/>
      <c r="I11" s="3"/>
      <c r="J11" s="3"/>
      <c r="K11" s="3"/>
    </row>
    <row r="12" customFormat="false" ht="25" hidden="false" customHeight="true" outlineLevel="0" collapsed="false">
      <c r="A12" s="1"/>
      <c r="B12" s="17" t="n">
        <v>0</v>
      </c>
      <c r="C12" s="3" t="n">
        <f aca="false">Forecast!D11*(1+$B12)/C$9</f>
        <v>12500000</v>
      </c>
      <c r="D12" s="3" t="n">
        <f aca="false">Forecast!D11*(1+$B12)/D$9</f>
        <v>11363636.3636364</v>
      </c>
      <c r="E12" s="3" t="n">
        <f aca="false">Forecast!D11*(1+$B12)/E$9</f>
        <v>10416666.6666667</v>
      </c>
      <c r="F12" s="3" t="n">
        <f aca="false">Forecast!D11*(1+$B12)/F$9</f>
        <v>9615384.61538462</v>
      </c>
      <c r="G12" s="3" t="n">
        <f aca="false">Forecast!D11*(1+$B12)/G$9</f>
        <v>8928571.42857143</v>
      </c>
      <c r="H12" s="3"/>
      <c r="I12" s="3"/>
      <c r="J12" s="3"/>
      <c r="K12" s="3"/>
    </row>
    <row r="13" customFormat="false" ht="25" hidden="false" customHeight="true" outlineLevel="0" collapsed="false">
      <c r="A13" s="1"/>
      <c r="B13" s="17" t="n">
        <v>0.05</v>
      </c>
      <c r="C13" s="3" t="n">
        <f aca="false">Forecast!D11*(1+$B13)/C$9</f>
        <v>13125000</v>
      </c>
      <c r="D13" s="3" t="n">
        <f aca="false">Forecast!D11*(1+$B13)/D$9</f>
        <v>11931818.1818182</v>
      </c>
      <c r="E13" s="3" t="n">
        <f aca="false">Forecast!D11*(1+$B13)/E$9</f>
        <v>10937500</v>
      </c>
      <c r="F13" s="3" t="n">
        <f aca="false">Forecast!D11*(1+$B13)/F$9</f>
        <v>10096153.8461538</v>
      </c>
      <c r="G13" s="3" t="n">
        <f aca="false">Forecast!D11*(1+$B13)/G$9</f>
        <v>9375000</v>
      </c>
      <c r="H13" s="3"/>
      <c r="I13" s="3"/>
      <c r="J13" s="3"/>
      <c r="K13" s="3"/>
    </row>
    <row r="14" customFormat="false" ht="25" hidden="false" customHeight="true" outlineLevel="0" collapsed="false">
      <c r="A14" s="1"/>
      <c r="B14" s="17" t="n">
        <v>0.1</v>
      </c>
      <c r="C14" s="3" t="n">
        <f aca="false">Forecast!D11*(1+$B14)/C$9</f>
        <v>13750000</v>
      </c>
      <c r="D14" s="3" t="n">
        <f aca="false">Forecast!D11*(1+$B14)/D$9</f>
        <v>12500000</v>
      </c>
      <c r="E14" s="3" t="n">
        <f aca="false">Forecast!D11*(1+$B14)/E$9</f>
        <v>11458333.3333333</v>
      </c>
      <c r="F14" s="3" t="n">
        <f aca="false">Forecast!D11*(1+$B14)/F$9</f>
        <v>10576923.0769231</v>
      </c>
      <c r="G14" s="3" t="n">
        <f aca="false">Forecast!D11*(1+$B14)/G$9</f>
        <v>9821428.57142857</v>
      </c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6:K7"/>
  </mergeCells>
  <conditionalFormatting sqref="C10:G14">
    <cfRule type="colorScale" priority="2">
      <colorScale>
        <cfvo type="min" val="0"/>
        <cfvo type="percentile" val="50"/>
        <cfvo type="max" val="0"/>
        <color rgb="FFF6E4D8"/>
        <color rgb="FFF5F7EF"/>
        <color rgb="FFC3DABA"/>
      </colorScale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48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49</v>
      </c>
      <c r="C8" s="3" t="n">
        <f aca="false">SUM(Forecast!C11:M11,Forecast!C13:M13)-SUM(Forecast!C12:M12,Forecast!C14:M15)-SUM(Forecast!C16:M16)</f>
        <v>-9.31322574615479E-010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3"/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50</v>
      </c>
      <c r="C12" s="18" t="str">
        <f aca="false">IF(OR(ISERROR(Dashboard!C10)),"IRR ERROR","OK")</f>
        <v>OK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conditionalFormatting sqref="C12">
    <cfRule type="cellIs" priority="2" operator="equal" aboveAverage="0" equalAverage="0" bottom="0" percent="0" rank="0" text="" dxfId="0">
      <formula>"IRR ERROR"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51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3" t="s">
        <v>52</v>
      </c>
      <c r="C6" s="13"/>
      <c r="D6" s="13"/>
      <c r="E6" s="13"/>
      <c r="F6" s="13"/>
      <c r="G6" s="13"/>
      <c r="H6" s="13"/>
      <c r="I6" s="13"/>
      <c r="J6" s="13"/>
      <c r="K6" s="13"/>
    </row>
    <row r="7" customFormat="false" ht="25" hidden="false" customHeight="true" outlineLevel="0" collapsed="false">
      <c r="A7" s="1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3" t="s">
        <v>53</v>
      </c>
      <c r="C9" s="13"/>
      <c r="D9" s="13"/>
      <c r="E9" s="13"/>
      <c r="F9" s="13"/>
      <c r="G9" s="13"/>
      <c r="H9" s="13"/>
      <c r="I9" s="13"/>
      <c r="J9" s="13"/>
      <c r="K9" s="13"/>
    </row>
    <row r="10" customFormat="false" ht="25" hidden="false" customHeight="true" outlineLevel="0" collapsed="false">
      <c r="A10" s="1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3" t="s">
        <v>54</v>
      </c>
      <c r="C12" s="13"/>
      <c r="D12" s="13"/>
      <c r="E12" s="13"/>
      <c r="F12" s="13"/>
      <c r="G12" s="13"/>
      <c r="H12" s="13"/>
      <c r="I12" s="13"/>
      <c r="J12" s="13"/>
      <c r="K12" s="13"/>
    </row>
    <row r="13" customFormat="false" ht="25" hidden="false" customHeight="true" outlineLevel="0" collapsed="false">
      <c r="A13" s="1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3" t="s">
        <v>55</v>
      </c>
      <c r="C15" s="13"/>
      <c r="D15" s="13"/>
      <c r="E15" s="13"/>
      <c r="F15" s="13"/>
      <c r="G15" s="13"/>
      <c r="H15" s="13"/>
      <c r="I15" s="13"/>
      <c r="J15" s="13"/>
      <c r="K15" s="13"/>
    </row>
    <row r="16" customFormat="false" ht="25" hidden="false" customHeight="true" outlineLevel="0" collapsed="false">
      <c r="A16" s="1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3" t="s">
        <v>56</v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Format="false" ht="25" hidden="false" customHeight="true" outlineLevel="0" collapsed="false">
      <c r="A20" s="1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7">
    <mergeCell ref="B2:K3"/>
    <mergeCell ref="B4:K4"/>
    <mergeCell ref="B6:K7"/>
    <mergeCell ref="B9:K10"/>
    <mergeCell ref="B12:K13"/>
    <mergeCell ref="B15:K16"/>
    <mergeCell ref="B19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