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3.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Assumptions" sheetId="2" state="visible" r:id="rId4"/>
    <sheet name="Monthly" sheetId="3" state="visible" r:id="rId5"/>
    <sheet name="Annual" sheetId="4" state="visible" r:id="rId6"/>
    <sheet name="Lender" sheetId="5" state="visible" r:id="rId7"/>
    <sheet name="Sensitivity" sheetId="6" state="visible" r:id="rId8"/>
    <sheet name="Checks" sheetId="7" state="visible" r:id="rId9"/>
    <sheet name="ReadMe" sheetId="8" state="visible" r:id="rId10"/>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<sst xmlns="http://schemas.openxmlformats.org/spreadsheetml/2006/main" count="118" uniqueCount="101">
  <si>
    <t xml:space="preserve">Hotel Acquisition</t>
  </si>
  <si>
    <t xml:space="preserve">FORMULAPLANET  •  EUR  •  v1.2  •  Illustrative inputs  •  Pre-tax</t>
  </si>
  <si>
    <t xml:space="preserve">Active case (1 base / 2 downside)</t>
  </si>
  <si>
    <t xml:space="preserve">Equity invested</t>
  </si>
  <si>
    <t xml:space="preserve">Equity distributed</t>
  </si>
  <si>
    <t xml:space="preserve">Annualized equity IRR</t>
  </si>
  <si>
    <t xml:space="preserve">Equity multiple / MOIC</t>
  </si>
  <si>
    <t xml:space="preserve">Net equity profit</t>
  </si>
  <si>
    <t xml:space="preserve">Total capital costs</t>
  </si>
  <si>
    <t xml:space="preserve">Construction / operating interest</t>
  </si>
  <si>
    <t xml:space="preserve">Peak cash deficit</t>
  </si>
  <si>
    <t xml:space="preserve">Equity NPV</t>
  </si>
  <si>
    <t xml:space="preserve">Annualized unlevered IRR</t>
  </si>
  <si>
    <t xml:space="preserve">Exit value</t>
  </si>
  <si>
    <t xml:space="preserve">Gross debt draws</t>
  </si>
  <si>
    <t xml:space="preserve">Select base / downside in Assumptions. Review Checks before relying on returns. The workbook is a planning tool; figures do not verify market data.</t>
  </si>
  <si>
    <t xml:space="preserve">Assumptions</t>
  </si>
  <si>
    <t xml:space="preserve">Case: 1 base / 2 downside</t>
  </si>
  <si>
    <t xml:space="preserve">Base</t>
  </si>
  <si>
    <t xml:space="preserve">Downside</t>
  </si>
  <si>
    <t xml:space="preserve">Active</t>
  </si>
  <si>
    <t xml:space="preserve">Acquisition price</t>
  </si>
  <si>
    <t xml:space="preserve">Acquisition costs</t>
  </si>
  <si>
    <t xml:space="preserve">Rooms</t>
  </si>
  <si>
    <t xml:space="preserve">Construction / renovation cost</t>
  </si>
  <si>
    <t xml:space="preserve">Professional fees (% hard costs)</t>
  </si>
  <si>
    <t xml:space="preserve">Construction contingency</t>
  </si>
  <si>
    <t xml:space="preserve">Construction duration (months)</t>
  </si>
  <si>
    <t xml:space="preserve">Lease-up / sellout months</t>
  </si>
  <si>
    <t xml:space="preserve">Average daily rate</t>
  </si>
  <si>
    <t xml:space="preserve">Stabilized occupancy</t>
  </si>
  <si>
    <t xml:space="preserve">Annual income growth</t>
  </si>
  <si>
    <t xml:space="preserve">Operating costs (% total revenue)</t>
  </si>
  <si>
    <t xml:space="preserve">Other income (% main revenue)</t>
  </si>
  <si>
    <t xml:space="preserve">Annual capex reserve (% revenue)</t>
  </si>
  <si>
    <t xml:space="preserve">Senior LTC limit</t>
  </si>
  <si>
    <t xml:space="preserve">Construction interest rate</t>
  </si>
  <si>
    <t xml:space="preserve">Refinance month (0 disables)</t>
  </si>
  <si>
    <t xml:space="preserve">Refinance LTV limit</t>
  </si>
  <si>
    <t xml:space="preserve">Minimum refinance DSCR</t>
  </si>
  <si>
    <t xml:space="preserve">Permanent interest rate</t>
  </si>
  <si>
    <t xml:space="preserve">Exit / refinance cap rate</t>
  </si>
  <si>
    <t xml:space="preserve">Selling costs (% proceeds)</t>
  </si>
  <si>
    <t xml:space="preserve">Annual equity discount rate</t>
  </si>
  <si>
    <t xml:space="preserve">Rent-paying months / year</t>
  </si>
  <si>
    <t xml:space="preserve">Pre-completion income factor</t>
  </si>
  <si>
    <t xml:space="preserve">Conversion / enabling cost</t>
  </si>
  <si>
    <t xml:space="preserve">Monthly</t>
  </si>
  <si>
    <t xml:space="preserve">Month</t>
  </si>
  <si>
    <t xml:space="preserve">Construction / conversion cost</t>
  </si>
  <si>
    <t xml:space="preserve">Acquisition incl. transaction costs</t>
  </si>
  <si>
    <t xml:space="preserve">Capital expenditure</t>
  </si>
  <si>
    <t xml:space="preserve">Senior loan draw</t>
  </si>
  <si>
    <t xml:space="preserve">Occupancy / sales ramp</t>
  </si>
  <si>
    <t xml:space="preserve">Units sold</t>
  </si>
  <si>
    <t xml:space="preserve">Main revenue</t>
  </si>
  <si>
    <t xml:space="preserve">Ancillary income</t>
  </si>
  <si>
    <t xml:space="preserve">Operating expenses</t>
  </si>
  <si>
    <t xml:space="preserve">Net operating income</t>
  </si>
  <si>
    <t xml:space="preserve">Recurring capex / FF&amp;E</t>
  </si>
  <si>
    <t xml:space="preserve">Forward annual stabilized NOI</t>
  </si>
  <si>
    <t xml:space="preserve">Opening debt balance</t>
  </si>
  <si>
    <t xml:space="preserve">Interest expense</t>
  </si>
  <si>
    <t xml:space="preserve">Refinance proceeds</t>
  </si>
  <si>
    <t xml:space="preserve">Gross exit / inventory sale</t>
  </si>
  <si>
    <t xml:space="preserve">Selling costs</t>
  </si>
  <si>
    <t xml:space="preserve">Refinance repayment</t>
  </si>
  <si>
    <t xml:space="preserve">Sales / exit debt repayment</t>
  </si>
  <si>
    <t xml:space="preserve">Additional repayment at month 60</t>
  </si>
  <si>
    <t xml:space="preserve">Closing debt</t>
  </si>
  <si>
    <t xml:space="preserve">Equity cash flow</t>
  </si>
  <si>
    <t xml:space="preserve">Unlevered cash flow</t>
  </si>
  <si>
    <t xml:space="preserve">Discounted equity cash flow</t>
  </si>
  <si>
    <t xml:space="preserve">Cumulative equity cash flow</t>
  </si>
  <si>
    <t xml:space="preserve">Monthly end-of-period cash flows, 60-month hold. Senior debt funds 65% of eligible capital costs; interest is funded by equity. Refinance uses forward stabilized NOI, LTV and interest-only DSCR. Residual debt is repaid at sale.</t>
  </si>
  <si>
    <t xml:space="preserve">Annual</t>
  </si>
  <si>
    <t xml:space="preserve">NOI</t>
  </si>
  <si>
    <t xml:space="preserve">Capex reserve</t>
  </si>
  <si>
    <t xml:space="preserve">Interest</t>
  </si>
  <si>
    <t xml:space="preserve">Gross sale</t>
  </si>
  <si>
    <t xml:space="preserve">Lender</t>
  </si>
  <si>
    <t xml:space="preserve">Peak debt</t>
  </si>
  <si>
    <t xml:space="preserve">LTC</t>
  </si>
  <si>
    <t xml:space="preserve">Year 5 NOI</t>
  </si>
  <si>
    <t xml:space="preserve">Debt yield</t>
  </si>
  <si>
    <t xml:space="preserve">Exit LTV</t>
  </si>
  <si>
    <t xml:space="preserve">Year 5 DSCR</t>
  </si>
  <si>
    <t xml:space="preserve">Interest-only financing. Construction interest is paid from equity, not capitalized. Closing debt at the final exit must be zero. Sales models have no recurring NOI, so debt yield and DSCR are zero / not applicable.</t>
  </si>
  <si>
    <t xml:space="preserve">Sensitivity</t>
  </si>
  <si>
    <t xml:space="preserve">Gross value sensitivity: forward annual income vs capitalization / yield. This isolates valuation; it is not a full-model IRR sensitivity.</t>
  </si>
  <si>
    <t xml:space="preserve">Checks</t>
  </si>
  <si>
    <t xml:space="preserve">Debt roll-forward (zero)</t>
  </si>
  <si>
    <t xml:space="preserve">Final debt balance (zero)</t>
  </si>
  <si>
    <t xml:space="preserve">Capital cost reconciliation (zero)</t>
  </si>
  <si>
    <t xml:space="preserve">Dashboard IRR calculation</t>
  </si>
  <si>
    <t xml:space="preserve">ReadMe</t>
  </si>
  <si>
    <t xml:space="preserve">Hotel Acquisition — editable, formula-driven underwriting workbook. Change the yellow / blue cells in Assumptions. Select case 2 for a downside through the same schedules.</t>
  </si>
  <si>
    <t xml:space="preserve">Inputs are illustrative, not researched market evidence. All values are EUR, nominal and before income tax / VAT. Acquisition costs are an explicit assumption. No macros, external links or hidden worksheets.</t>
  </si>
  <si>
    <t xml:space="preserve">Cash flow timing is stated on the forecast. Review financing covenants, operating assumptions and local taxes for your project. IRR may be undefined or non-unique for cash flows with multiple sign changes.</t>
  </si>
  <si>
    <t xml:space="preserve">Blue = editable input; green = linked assumption; dark = calculated output. Negative values are parenthesized. Checks are diagnostic only and do not drive the model. FormulaPlanet free-use licence: use and edit for your own organisation, studies and client analysis; do not sell or redistribute the original files.</t>
  </si>
  <si>
    <t xml:space="preserve">Hotel: rooms × ADR × days × occupancy plus ancillary revenue; operating costs and FF&amp;E reserve are explicit. Winter / summer seasonality is normalized across the year. Lease-up ramps occupancy after completion.</t>
  </si>
</sst>
</file>

<file path=xl/styles.xml><?xml version="1.0" encoding="utf-8"?>
<styleSheet xmlns="http://schemas.openxmlformats.org/spreadsheetml/2006/main">
  <numFmts count="6">
    <numFmt numFmtId="164" formatCode="General"/>
    <numFmt numFmtId="165" formatCode="#,##0;\(#,##0\);\–"/>
    <numFmt numFmtId="166" formatCode="0.0%;\(0.0%\);\–"/>
    <numFmt numFmtId="167" formatCode="0.00\x"/>
    <numFmt numFmtId="168" formatCode="0"/>
    <numFmt numFmtId="169" formatCode="@"/>
  </numFmts>
  <fonts count="9">
    <font>
      <sz val="10"/>
      <name val="Arial"/>
      <family val="2"/>
    </font>
    <font>
      <sz val="10"/>
      <name val="Arial"/>
      <family val="0"/>
    </font>
    <font>
      <sz val="10"/>
      <name val="Arial"/>
      <family val="0"/>
    </font>
    <font>
      <sz val="10"/>
      <name val="Arial"/>
      <family val="0"/>
    </font>
    <font>
      <sz val="11"/>
      <name val="Calibri"/>
      <family val="0"/>
      <charset val="1"/>
    </font>
    <font>
      <sz val="11"/>
      <color rgb="FF193D30"/>
      <name val="Arial"/>
      <family val="0"/>
      <charset val="1"/>
    </font>
    <font>
      <b val="true"/>
      <sz val="19"/>
      <color rgb="FFFFFFFF"/>
      <name val="Arial"/>
      <family val="0"/>
      <charset val="1"/>
    </font>
    <font>
      <b val="true"/>
      <sz val="11"/>
      <color rgb="FF193D30"/>
      <name val="Arial"/>
      <family val="0"/>
      <charset val="1"/>
    </font>
    <font>
      <sz val="11"/>
      <color rgb="FF0000FF"/>
      <name val="Arial"/>
      <family val="0"/>
      <charset val="1"/>
    </font>
  </fonts>
  <fills count="6">
    <fill>
      <patternFill patternType="none"/>
    </fill>
    <fill>
      <patternFill patternType="gray125"/>
    </fill>
    <fill>
      <patternFill patternType="solid">
        <fgColor rgb="FF193D30"/>
        <bgColor rgb="FF003300"/>
      </patternFill>
    </fill>
    <fill>
      <patternFill patternType="solid">
        <fgColor rgb="FFE7EFDF"/>
        <bgColor rgb="FFF2F5ED"/>
      </patternFill>
    </fill>
    <fill>
      <patternFill patternType="solid">
        <fgColor rgb="FFF2F5ED"/>
        <bgColor rgb="FFE7EFDF"/>
      </patternFill>
    </fill>
    <fill>
      <patternFill patternType="solid">
        <fgColor rgb="FFFFF6D6"/>
        <bgColor rgb="FFF2F5ED"/>
      </patternFill>
    </fill>
  </fills>
  <borders count="1">
    <border diagonalUp="false" diagonalDown="false">
      <left/>
      <right/>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true" applyAlignment="false" applyProtection="false">
      <alignment horizontal="general" vertical="bottom" textRotation="0" wrapText="false" indent="0" shrinkToFit="false"/>
      <protection locked="true" hidden="false"/>
    </xf>
    <xf numFmtId="164" fontId="6" fillId="2" borderId="0" xfId="20" applyFont="true" applyBorder="true" applyAlignment="false" applyProtection="false">
      <alignment horizontal="general" vertical="bottom" textRotation="0" wrapText="false" indent="0" shrinkToFit="false"/>
      <protection locked="true" hidden="false"/>
    </xf>
    <xf numFmtId="165" fontId="5" fillId="0" borderId="0" xfId="20" applyFont="true" applyBorder="true" applyAlignment="false" applyProtection="false">
      <alignment horizontal="general" vertical="bottom" textRotation="0" wrapText="false" indent="0" shrinkToFit="false"/>
      <protection locked="true" hidden="false"/>
    </xf>
    <xf numFmtId="164" fontId="5" fillId="3" borderId="0" xfId="20" applyFont="true" applyBorder="true" applyAlignment="false" applyProtection="false">
      <alignment horizontal="general" vertical="bottom" textRotation="0" wrapText="false" indent="0" shrinkToFit="false"/>
      <protection locked="true" hidden="false"/>
    </xf>
    <xf numFmtId="165" fontId="7" fillId="3" borderId="0" xfId="20" applyFont="true" applyBorder="true" applyAlignment="false" applyProtection="false">
      <alignment horizontal="general" vertical="bottom" textRotation="0" wrapText="false" indent="0" shrinkToFit="false"/>
      <protection locked="true" hidden="false"/>
    </xf>
    <xf numFmtId="165" fontId="5" fillId="3" borderId="0" xfId="20" applyFont="true" applyBorder="true" applyAlignment="false" applyProtection="false">
      <alignment horizontal="general" vertical="bottom" textRotation="0" wrapText="false" indent="0" shrinkToFit="false"/>
      <protection locked="true" hidden="false"/>
    </xf>
    <xf numFmtId="164" fontId="5" fillId="4" borderId="0" xfId="20" applyFont="true" applyBorder="true" applyAlignment="false" applyProtection="false">
      <alignment horizontal="general" vertical="bottom" textRotation="0" wrapText="false" indent="0" shrinkToFit="false"/>
      <protection locked="true" hidden="false"/>
    </xf>
    <xf numFmtId="165" fontId="7" fillId="4" borderId="0" xfId="20" applyFont="true" applyBorder="true" applyAlignment="false" applyProtection="false">
      <alignment horizontal="general" vertical="bottom" textRotation="0" wrapText="false" indent="0" shrinkToFit="false"/>
      <protection locked="true" hidden="false"/>
    </xf>
    <xf numFmtId="165" fontId="5" fillId="4" borderId="0" xfId="20" applyFont="true" applyBorder="true" applyAlignment="false" applyProtection="false">
      <alignment horizontal="general" vertical="bottom" textRotation="0" wrapText="false" indent="0" shrinkToFit="false"/>
      <protection locked="true" hidden="false"/>
    </xf>
    <xf numFmtId="166" fontId="7" fillId="3" borderId="0" xfId="20" applyFont="true" applyBorder="true" applyAlignment="false" applyProtection="false">
      <alignment horizontal="general" vertical="bottom" textRotation="0" wrapText="false" indent="0" shrinkToFit="false"/>
      <protection locked="true" hidden="false"/>
    </xf>
    <xf numFmtId="167" fontId="7" fillId="4" borderId="0" xfId="20" applyFont="true" applyBorder="true" applyAlignment="false" applyProtection="false">
      <alignment horizontal="general" vertical="bottom" textRotation="0" wrapText="false" indent="0" shrinkToFit="false"/>
      <protection locked="true" hidden="false"/>
    </xf>
    <xf numFmtId="164" fontId="5" fillId="0" borderId="0" xfId="20" applyFont="true" applyBorder="true" applyAlignment="true" applyProtection="false">
      <alignment horizontal="general" vertical="bottom" textRotation="0" wrapText="true" indent="0" shrinkToFit="false"/>
      <protection locked="true" hidden="false"/>
    </xf>
    <xf numFmtId="165" fontId="8" fillId="0" borderId="0" xfId="20" applyFont="true" applyBorder="true" applyAlignment="false" applyProtection="false">
      <alignment horizontal="general" vertical="bottom" textRotation="0" wrapText="false" indent="0" shrinkToFit="false"/>
      <protection locked="true" hidden="false"/>
    </xf>
    <xf numFmtId="165" fontId="8" fillId="5" borderId="0" xfId="20" applyFont="true" applyBorder="true" applyAlignment="false" applyProtection="false">
      <alignment horizontal="general" vertical="bottom" textRotation="0" wrapText="false" indent="0" shrinkToFit="false"/>
      <protection locked="true" hidden="false"/>
    </xf>
    <xf numFmtId="166" fontId="8" fillId="5" borderId="0" xfId="20" applyFont="true" applyBorder="true" applyAlignment="false" applyProtection="false">
      <alignment horizontal="general" vertical="bottom" textRotation="0" wrapText="false" indent="0" shrinkToFit="false"/>
      <protection locked="true" hidden="false"/>
    </xf>
    <xf numFmtId="166" fontId="5" fillId="0" borderId="0" xfId="20" applyFont="true" applyBorder="true" applyAlignment="false" applyProtection="false">
      <alignment horizontal="general" vertical="bottom" textRotation="0" wrapText="false" indent="0" shrinkToFit="false"/>
      <protection locked="true" hidden="false"/>
    </xf>
    <xf numFmtId="167" fontId="8" fillId="5" borderId="0" xfId="20" applyFont="true" applyBorder="true" applyAlignment="false" applyProtection="false">
      <alignment horizontal="general" vertical="bottom" textRotation="0" wrapText="false" indent="0" shrinkToFit="false"/>
      <protection locked="true" hidden="false"/>
    </xf>
    <xf numFmtId="167" fontId="5" fillId="0" borderId="0" xfId="20" applyFont="true" applyBorder="true" applyAlignment="false" applyProtection="false">
      <alignment horizontal="general" vertical="bottom" textRotation="0" wrapText="false" indent="0" shrinkToFit="false"/>
      <protection locked="true" hidden="false"/>
    </xf>
    <xf numFmtId="168" fontId="5" fillId="0" borderId="0" xfId="20" applyFont="true" applyBorder="true" applyAlignment="false" applyProtection="false">
      <alignment horizontal="general" vertical="bottom" textRotation="0" wrapText="false" indent="0" shrinkToFit="false"/>
      <protection locked="true" hidden="false"/>
    </xf>
    <xf numFmtId="168" fontId="4" fillId="0" borderId="0" xfId="20" applyFont="true" applyBorder="true" applyAlignment="false" applyProtection="false">
      <alignment horizontal="general" vertical="bottom" textRotation="0" wrapText="false" indent="0" shrinkToFit="false"/>
      <protection locked="true" hidden="false"/>
    </xf>
    <xf numFmtId="166" fontId="4" fillId="0" borderId="0" xfId="20" applyFont="true" applyBorder="true" applyAlignment="false" applyProtection="false">
      <alignment horizontal="general" vertical="bottom" textRotation="0" wrapText="false" indent="0" shrinkToFit="false"/>
      <protection locked="true" hidden="false"/>
    </xf>
    <xf numFmtId="169" fontId="7" fillId="0" borderId="0" xfId="20" applyFont="true" applyBorder="true" applyAlignment="fals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xfId="20"/>
  </cellStyles>
  <dxfs count="1">
    <dxf>
      <font>
        <name val="Arial"/>
        <charset val="1"/>
        <family val="0"/>
        <b val="1"/>
        <color rgb="FFB42318"/>
        <sz val="11"/>
      </font>
      <fill>
        <patternFill>
          <bgColor rgb="FFFCE8E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6D6"/>
      <rgbColor rgb="FFF2F5ED"/>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7EFDF"/>
      <rgbColor rgb="FFFCE8E6"/>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B42318"/>
      <rgbColor rgb="FF993366"/>
      <rgbColor rgb="FF333399"/>
      <rgbColor rgb="FF193D3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4" t="s">
        <v>3</v>
      </c>
      <c r="C8" s="5" t="n">
        <f aca="false">-SUMIF(Monthly!C28:BK28,"&lt;0",Monthly!C28:BK28)</f>
        <v>4486269.28535388</v>
      </c>
      <c r="D8" s="6"/>
      <c r="E8" s="3"/>
      <c r="F8" s="3"/>
      <c r="G8" s="3"/>
      <c r="H8" s="3"/>
      <c r="I8" s="3"/>
      <c r="J8" s="3"/>
      <c r="K8" s="3"/>
    </row>
    <row r="9" customFormat="false" ht="25" hidden="false" customHeight="true" outlineLevel="0" collapsed="false">
      <c r="A9" s="1"/>
      <c r="B9" s="7" t="s">
        <v>4</v>
      </c>
      <c r="C9" s="8" t="n">
        <f aca="false">SUMIF(Monthly!C28:BK28,"&gt;0",Monthly!C28:BK28)</f>
        <v>58890235.8756285</v>
      </c>
      <c r="D9" s="9"/>
      <c r="E9" s="3"/>
      <c r="F9" s="3"/>
      <c r="G9" s="3"/>
      <c r="H9" s="3"/>
      <c r="I9" s="3"/>
      <c r="J9" s="3"/>
      <c r="K9" s="3"/>
    </row>
    <row r="10" customFormat="false" ht="25" hidden="false" customHeight="true" outlineLevel="0" collapsed="false">
      <c r="A10" s="1"/>
      <c r="B10" s="4" t="s">
        <v>5</v>
      </c>
      <c r="C10" s="10" t="n">
        <f aca="false">IF(AND(C8&gt;0,C9&gt;0),(1+IFERROR(IRR(Monthly!C28:BK28),IRR(Monthly!C28:BK28,0)))^12-1,"n.a.")</f>
        <v>1.07733772991543</v>
      </c>
      <c r="D10" s="6"/>
      <c r="E10" s="3"/>
      <c r="F10" s="3"/>
      <c r="G10" s="3"/>
      <c r="H10" s="3"/>
      <c r="I10" s="3"/>
      <c r="J10" s="3"/>
      <c r="K10" s="3"/>
    </row>
    <row r="11" customFormat="false" ht="25" hidden="false" customHeight="true" outlineLevel="0" collapsed="false">
      <c r="A11" s="1"/>
      <c r="B11" s="7" t="s">
        <v>6</v>
      </c>
      <c r="C11" s="11" t="n">
        <f aca="false">IF(C8&gt;0,C9/C8,0)</f>
        <v>13.12677240929</v>
      </c>
      <c r="D11" s="9"/>
      <c r="E11" s="3"/>
      <c r="F11" s="3"/>
      <c r="G11" s="3"/>
      <c r="H11" s="3"/>
      <c r="I11" s="3"/>
      <c r="J11" s="3"/>
      <c r="K11" s="3"/>
    </row>
    <row r="12" customFormat="false" ht="25" hidden="false" customHeight="true" outlineLevel="0" collapsed="false">
      <c r="A12" s="1"/>
      <c r="B12" s="4" t="s">
        <v>7</v>
      </c>
      <c r="C12" s="5" t="n">
        <f aca="false">C9-C8</f>
        <v>54403966.5902746</v>
      </c>
      <c r="D12" s="6"/>
      <c r="E12" s="3"/>
      <c r="F12" s="3"/>
      <c r="G12" s="3"/>
      <c r="H12" s="3"/>
      <c r="I12" s="3"/>
      <c r="J12" s="3"/>
      <c r="K12" s="3"/>
    </row>
    <row r="13" customFormat="false" ht="25" hidden="false" customHeight="true" outlineLevel="0" collapsed="false">
      <c r="A13" s="1"/>
      <c r="B13" s="1"/>
      <c r="C13" s="3"/>
      <c r="D13" s="3"/>
      <c r="E13" s="3"/>
      <c r="F13" s="3"/>
      <c r="G13" s="3"/>
      <c r="H13" s="3"/>
      <c r="I13" s="3"/>
      <c r="J13" s="3"/>
      <c r="K13" s="3"/>
    </row>
    <row r="14" customFormat="false" ht="25" hidden="false" customHeight="true" outlineLevel="0" collapsed="false">
      <c r="A14" s="1"/>
      <c r="B14" s="4" t="s">
        <v>8</v>
      </c>
      <c r="C14" s="5" t="n">
        <f aca="false">SUM(Monthly!C9:BK9)</f>
        <v>13895000</v>
      </c>
      <c r="D14" s="6"/>
      <c r="E14" s="3"/>
      <c r="F14" s="3"/>
      <c r="G14" s="3"/>
      <c r="H14" s="3"/>
      <c r="I14" s="3"/>
      <c r="J14" s="3"/>
      <c r="K14" s="3"/>
    </row>
    <row r="15" customFormat="false" ht="25" hidden="false" customHeight="true" outlineLevel="0" collapsed="false">
      <c r="A15" s="1"/>
      <c r="B15" s="7" t="s">
        <v>9</v>
      </c>
      <c r="C15" s="8" t="n">
        <f aca="false">SUM(Monthly!C20:BK20)</f>
        <v>4946974.01699736</v>
      </c>
      <c r="D15" s="9"/>
      <c r="E15" s="3"/>
      <c r="F15" s="3"/>
      <c r="G15" s="3"/>
      <c r="H15" s="3"/>
      <c r="I15" s="3"/>
      <c r="J15" s="3"/>
      <c r="K15" s="3"/>
    </row>
    <row r="16" customFormat="false" ht="25" hidden="false" customHeight="true" outlineLevel="0" collapsed="false">
      <c r="A16" s="1"/>
      <c r="B16" s="4" t="s">
        <v>10</v>
      </c>
      <c r="C16" s="5" t="n">
        <f aca="false">-MIN(Monthly!C31:BK31)</f>
        <v>4452000</v>
      </c>
      <c r="D16" s="6"/>
      <c r="E16" s="3"/>
      <c r="F16" s="3"/>
      <c r="G16" s="3"/>
      <c r="H16" s="3"/>
      <c r="I16" s="3"/>
      <c r="J16" s="3"/>
      <c r="K16" s="3"/>
    </row>
    <row r="17" customFormat="false" ht="25" hidden="false" customHeight="true" outlineLevel="0" collapsed="false">
      <c r="A17" s="1"/>
      <c r="B17" s="7" t="s">
        <v>11</v>
      </c>
      <c r="C17" s="8" t="n">
        <f aca="false">SUM(Monthly!C30:BK30)</f>
        <v>33205315.2793892</v>
      </c>
      <c r="D17" s="9"/>
      <c r="E17" s="3"/>
      <c r="F17" s="3"/>
      <c r="G17" s="3"/>
      <c r="H17" s="3"/>
      <c r="I17" s="3"/>
      <c r="J17" s="3"/>
      <c r="K17" s="3"/>
    </row>
    <row r="18" customFormat="false" ht="25" hidden="false" customHeight="true" outlineLevel="0" collapsed="false">
      <c r="A18" s="1"/>
      <c r="B18" s="4" t="s">
        <v>12</v>
      </c>
      <c r="C18" s="10" t="n">
        <f aca="false">(1+IFERROR(IRR(Monthly!C29:BK29),IRR(Monthly!C29:BK29,0)))^12-1</f>
        <v>0.478497575872663</v>
      </c>
      <c r="D18" s="6"/>
      <c r="E18" s="3"/>
      <c r="F18" s="3"/>
      <c r="G18" s="3"/>
      <c r="H18" s="3"/>
      <c r="I18" s="3"/>
      <c r="J18" s="3"/>
      <c r="K18" s="3"/>
    </row>
    <row r="19" customFormat="false" ht="25" hidden="false" customHeight="true" outlineLevel="0" collapsed="false">
      <c r="A19" s="1"/>
      <c r="B19" s="7" t="s">
        <v>13</v>
      </c>
      <c r="C19" s="8" t="n">
        <f aca="false">Monthly!BK22</f>
        <v>60894234.705077</v>
      </c>
      <c r="D19" s="9"/>
      <c r="E19" s="3"/>
      <c r="F19" s="3"/>
      <c r="G19" s="3"/>
      <c r="H19" s="3"/>
      <c r="I19" s="3"/>
      <c r="J19" s="3"/>
      <c r="K19" s="3"/>
    </row>
    <row r="20" customFormat="false" ht="25" hidden="false" customHeight="true" outlineLevel="0" collapsed="false">
      <c r="A20" s="1"/>
      <c r="B20" s="4" t="s">
        <v>14</v>
      </c>
      <c r="C20" s="5" t="n">
        <f aca="false">SUM(Monthly!C10:BK10)</f>
        <v>9031750</v>
      </c>
      <c r="D20" s="6"/>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2" t="s">
        <v>15</v>
      </c>
      <c r="C26" s="12"/>
      <c r="D26" s="12"/>
      <c r="E26" s="12"/>
      <c r="F26" s="12"/>
      <c r="G26" s="12"/>
      <c r="H26" s="12"/>
      <c r="I26" s="12"/>
      <c r="J26" s="12"/>
      <c r="K26" s="12"/>
    </row>
    <row r="27" customFormat="false" ht="25" hidden="false" customHeight="true" outlineLevel="0" collapsed="false">
      <c r="A27" s="1"/>
      <c r="B27" s="12"/>
      <c r="C27" s="12"/>
      <c r="D27" s="12"/>
      <c r="E27" s="12"/>
      <c r="F27" s="12"/>
      <c r="G27" s="12"/>
      <c r="H27" s="12"/>
      <c r="I27" s="12"/>
      <c r="J27" s="12"/>
      <c r="K27" s="12"/>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26:K27"/>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16</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c r="C5" s="3"/>
      <c r="D5" s="3"/>
      <c r="E5" s="3"/>
      <c r="F5" s="3"/>
      <c r="G5" s="3"/>
      <c r="H5" s="3"/>
      <c r="I5" s="3"/>
      <c r="J5" s="3"/>
      <c r="K5" s="3"/>
    </row>
    <row r="6" customFormat="false" ht="25" hidden="false" customHeight="true" outlineLevel="0" collapsed="false">
      <c r="A6" s="1"/>
      <c r="B6" s="1" t="s">
        <v>17</v>
      </c>
      <c r="C6" s="13" t="n">
        <v>1</v>
      </c>
      <c r="D6" s="3"/>
      <c r="E6" s="3"/>
      <c r="F6" s="3"/>
      <c r="G6" s="3"/>
      <c r="H6" s="3"/>
      <c r="I6" s="3"/>
      <c r="J6" s="3"/>
      <c r="K6" s="3"/>
    </row>
    <row r="7" customFormat="false" ht="25" hidden="false" customHeight="true" outlineLevel="0" collapsed="false">
      <c r="A7" s="1"/>
      <c r="B7" s="1"/>
      <c r="C7" s="3" t="s">
        <v>18</v>
      </c>
      <c r="D7" s="3" t="s">
        <v>19</v>
      </c>
      <c r="E7" s="3" t="s">
        <v>20</v>
      </c>
      <c r="F7" s="3"/>
      <c r="G7" s="3"/>
      <c r="H7" s="3"/>
      <c r="I7" s="3"/>
      <c r="J7" s="3"/>
      <c r="K7" s="3"/>
    </row>
    <row r="8" customFormat="false" ht="25" hidden="false" customHeight="true" outlineLevel="0" collapsed="false">
      <c r="A8" s="1"/>
      <c r="B8" s="1" t="s">
        <v>21</v>
      </c>
      <c r="C8" s="14" t="n">
        <v>12000000</v>
      </c>
      <c r="D8" s="14" t="n">
        <v>12000000</v>
      </c>
      <c r="E8" s="3" t="n">
        <f aca="false">IF($C$6=2,D8,C8)</f>
        <v>12000000</v>
      </c>
      <c r="F8" s="3"/>
      <c r="G8" s="3"/>
      <c r="H8" s="3"/>
      <c r="I8" s="3"/>
      <c r="J8" s="3"/>
      <c r="K8" s="3"/>
    </row>
    <row r="9" customFormat="false" ht="25" hidden="false" customHeight="true" outlineLevel="0" collapsed="false">
      <c r="A9" s="1"/>
      <c r="B9" s="1" t="s">
        <v>22</v>
      </c>
      <c r="C9" s="15" t="n">
        <v>0.06</v>
      </c>
      <c r="D9" s="15" t="n">
        <v>0.06</v>
      </c>
      <c r="E9" s="16" t="n">
        <f aca="false">IF($C$6=2,D9,C9)</f>
        <v>0.06</v>
      </c>
      <c r="F9" s="3"/>
      <c r="G9" s="3"/>
      <c r="H9" s="3"/>
      <c r="I9" s="3"/>
      <c r="J9" s="3"/>
      <c r="K9" s="3"/>
    </row>
    <row r="10" customFormat="false" ht="25" hidden="false" customHeight="true" outlineLevel="0" collapsed="false">
      <c r="A10" s="1"/>
      <c r="B10" s="1" t="s">
        <v>23</v>
      </c>
      <c r="C10" s="14" t="n">
        <v>100</v>
      </c>
      <c r="D10" s="14" t="n">
        <v>100</v>
      </c>
      <c r="E10" s="3" t="n">
        <f aca="false">IF($C$6=2,D10,C10)</f>
        <v>100</v>
      </c>
      <c r="F10" s="3"/>
      <c r="G10" s="3"/>
      <c r="H10" s="3"/>
      <c r="I10" s="3"/>
      <c r="J10" s="3"/>
      <c r="K10" s="3"/>
    </row>
    <row r="11" customFormat="false" ht="25" hidden="false" customHeight="true" outlineLevel="0" collapsed="false">
      <c r="A11" s="1"/>
      <c r="B11" s="1" t="s">
        <v>24</v>
      </c>
      <c r="C11" s="14" t="n">
        <v>1000000</v>
      </c>
      <c r="D11" s="14" t="n">
        <v>1150000</v>
      </c>
      <c r="E11" s="3" t="n">
        <f aca="false">IF($C$6=2,D11,C11)</f>
        <v>1000000</v>
      </c>
      <c r="F11" s="3"/>
      <c r="G11" s="3"/>
      <c r="H11" s="3"/>
      <c r="I11" s="3"/>
      <c r="J11" s="3"/>
      <c r="K11" s="3"/>
    </row>
    <row r="12" customFormat="false" ht="25" hidden="false" customHeight="true" outlineLevel="0" collapsed="false">
      <c r="A12" s="1"/>
      <c r="B12" s="1" t="s">
        <v>25</v>
      </c>
      <c r="C12" s="15" t="n">
        <v>0.1</v>
      </c>
      <c r="D12" s="15" t="n">
        <v>0.1</v>
      </c>
      <c r="E12" s="16" t="n">
        <f aca="false">IF($C$6=2,D12,C12)</f>
        <v>0.1</v>
      </c>
      <c r="F12" s="3"/>
      <c r="G12" s="3"/>
      <c r="H12" s="3"/>
      <c r="I12" s="3"/>
      <c r="J12" s="3"/>
      <c r="K12" s="3"/>
    </row>
    <row r="13" customFormat="false" ht="25" hidden="false" customHeight="true" outlineLevel="0" collapsed="false">
      <c r="A13" s="1"/>
      <c r="B13" s="1" t="s">
        <v>26</v>
      </c>
      <c r="C13" s="15" t="n">
        <v>0.075</v>
      </c>
      <c r="D13" s="15" t="n">
        <v>0.075</v>
      </c>
      <c r="E13" s="16" t="n">
        <f aca="false">IF($C$6=2,D13,C13)</f>
        <v>0.075</v>
      </c>
      <c r="F13" s="3"/>
      <c r="G13" s="3"/>
      <c r="H13" s="3"/>
      <c r="I13" s="3"/>
      <c r="J13" s="3"/>
      <c r="K13" s="3"/>
    </row>
    <row r="14" customFormat="false" ht="25" hidden="false" customHeight="true" outlineLevel="0" collapsed="false">
      <c r="A14" s="1"/>
      <c r="B14" s="1" t="s">
        <v>27</v>
      </c>
      <c r="C14" s="14" t="n">
        <v>6</v>
      </c>
      <c r="D14" s="14" t="n">
        <v>9</v>
      </c>
      <c r="E14" s="3" t="n">
        <f aca="false">IF($C$6=2,D14,C14)</f>
        <v>6</v>
      </c>
      <c r="F14" s="3"/>
      <c r="G14" s="3"/>
      <c r="H14" s="3"/>
      <c r="I14" s="3"/>
      <c r="J14" s="3"/>
      <c r="K14" s="3"/>
    </row>
    <row r="15" customFormat="false" ht="25" hidden="false" customHeight="true" outlineLevel="0" collapsed="false">
      <c r="A15" s="1"/>
      <c r="B15" s="1" t="s">
        <v>28</v>
      </c>
      <c r="C15" s="14" t="n">
        <v>12</v>
      </c>
      <c r="D15" s="14" t="n">
        <v>18</v>
      </c>
      <c r="E15" s="3" t="n">
        <f aca="false">IF($C$6=2,D15,C15)</f>
        <v>12</v>
      </c>
      <c r="F15" s="3"/>
      <c r="G15" s="3"/>
      <c r="H15" s="3"/>
      <c r="I15" s="3"/>
      <c r="J15" s="3"/>
      <c r="K15" s="3"/>
    </row>
    <row r="16" customFormat="false" ht="25" hidden="false" customHeight="true" outlineLevel="0" collapsed="false">
      <c r="A16" s="1"/>
      <c r="B16" s="1" t="s">
        <v>29</v>
      </c>
      <c r="C16" s="14" t="n">
        <v>170</v>
      </c>
      <c r="D16" s="14" t="n">
        <v>153</v>
      </c>
      <c r="E16" s="3" t="n">
        <f aca="false">IF($C$6=2,D16,C16)</f>
        <v>170</v>
      </c>
      <c r="F16" s="3"/>
      <c r="G16" s="3"/>
      <c r="H16" s="3"/>
      <c r="I16" s="3"/>
      <c r="J16" s="3"/>
      <c r="K16" s="3"/>
    </row>
    <row r="17" customFormat="false" ht="25" hidden="false" customHeight="true" outlineLevel="0" collapsed="false">
      <c r="A17" s="1"/>
      <c r="B17" s="1" t="s">
        <v>30</v>
      </c>
      <c r="C17" s="15" t="n">
        <v>0.95</v>
      </c>
      <c r="D17" s="15" t="n">
        <v>0.88</v>
      </c>
      <c r="E17" s="16" t="n">
        <f aca="false">IF($C$6=2,D17,C17)</f>
        <v>0.95</v>
      </c>
      <c r="F17" s="3"/>
      <c r="G17" s="3"/>
      <c r="H17" s="3"/>
      <c r="I17" s="3"/>
      <c r="J17" s="3"/>
      <c r="K17" s="3"/>
    </row>
    <row r="18" customFormat="false" ht="25" hidden="false" customHeight="true" outlineLevel="0" collapsed="false">
      <c r="A18" s="1"/>
      <c r="B18" s="1" t="s">
        <v>31</v>
      </c>
      <c r="C18" s="15" t="n">
        <v>0.025</v>
      </c>
      <c r="D18" s="15" t="n">
        <v>0.01</v>
      </c>
      <c r="E18" s="16" t="n">
        <f aca="false">IF($C$6=2,D18,C18)</f>
        <v>0.025</v>
      </c>
      <c r="F18" s="3"/>
      <c r="G18" s="3"/>
      <c r="H18" s="3"/>
      <c r="I18" s="3"/>
      <c r="J18" s="3"/>
      <c r="K18" s="3"/>
    </row>
    <row r="19" customFormat="false" ht="25" hidden="false" customHeight="true" outlineLevel="0" collapsed="false">
      <c r="A19" s="1"/>
      <c r="B19" s="1" t="s">
        <v>32</v>
      </c>
      <c r="C19" s="15" t="n">
        <v>0.58</v>
      </c>
      <c r="D19" s="15" t="n">
        <v>0.63</v>
      </c>
      <c r="E19" s="16" t="n">
        <f aca="false">IF($C$6=2,D19,C19)</f>
        <v>0.58</v>
      </c>
      <c r="F19" s="3"/>
      <c r="G19" s="3"/>
      <c r="H19" s="3"/>
      <c r="I19" s="3"/>
      <c r="J19" s="3"/>
      <c r="K19" s="3"/>
    </row>
    <row r="20" customFormat="false" ht="25" hidden="false" customHeight="true" outlineLevel="0" collapsed="false">
      <c r="A20" s="1"/>
      <c r="B20" s="1" t="s">
        <v>33</v>
      </c>
      <c r="C20" s="15" t="n">
        <v>0.25</v>
      </c>
      <c r="D20" s="15" t="n">
        <v>0.25</v>
      </c>
      <c r="E20" s="16" t="n">
        <f aca="false">IF($C$6=2,D20,C20)</f>
        <v>0.25</v>
      </c>
      <c r="F20" s="3"/>
      <c r="G20" s="3"/>
      <c r="H20" s="3"/>
      <c r="I20" s="3"/>
      <c r="J20" s="3"/>
      <c r="K20" s="3"/>
    </row>
    <row r="21" customFormat="false" ht="25" hidden="false" customHeight="true" outlineLevel="0" collapsed="false">
      <c r="A21" s="1"/>
      <c r="B21" s="1" t="s">
        <v>34</v>
      </c>
      <c r="C21" s="15" t="n">
        <v>0.04</v>
      </c>
      <c r="D21" s="15" t="n">
        <v>0.04</v>
      </c>
      <c r="E21" s="16" t="n">
        <f aca="false">IF($C$6=2,D21,C21)</f>
        <v>0.04</v>
      </c>
      <c r="F21" s="3"/>
      <c r="G21" s="3"/>
      <c r="H21" s="3"/>
      <c r="I21" s="3"/>
      <c r="J21" s="3"/>
      <c r="K21" s="3"/>
    </row>
    <row r="22" customFormat="false" ht="25" hidden="false" customHeight="true" outlineLevel="0" collapsed="false">
      <c r="A22" s="1"/>
      <c r="B22" s="1" t="s">
        <v>35</v>
      </c>
      <c r="C22" s="15" t="n">
        <v>0.65</v>
      </c>
      <c r="D22" s="15" t="n">
        <v>0.65</v>
      </c>
      <c r="E22" s="16" t="n">
        <f aca="false">IF($C$6=2,D22,C22)</f>
        <v>0.65</v>
      </c>
      <c r="F22" s="3"/>
      <c r="G22" s="3"/>
      <c r="H22" s="3"/>
      <c r="I22" s="3"/>
      <c r="J22" s="3"/>
      <c r="K22" s="3"/>
    </row>
    <row r="23" customFormat="false" ht="25" hidden="false" customHeight="true" outlineLevel="0" collapsed="false">
      <c r="A23" s="1"/>
      <c r="B23" s="1" t="s">
        <v>36</v>
      </c>
      <c r="C23" s="15" t="n">
        <v>0.065</v>
      </c>
      <c r="D23" s="15" t="n">
        <v>0.08</v>
      </c>
      <c r="E23" s="16" t="n">
        <f aca="false">IF($C$6=2,D23,C23)</f>
        <v>0.065</v>
      </c>
      <c r="F23" s="3"/>
      <c r="G23" s="3"/>
      <c r="H23" s="3"/>
      <c r="I23" s="3"/>
      <c r="J23" s="3"/>
      <c r="K23" s="3"/>
    </row>
    <row r="24" customFormat="false" ht="25" hidden="false" customHeight="true" outlineLevel="0" collapsed="false">
      <c r="A24" s="1"/>
      <c r="B24" s="1" t="s">
        <v>37</v>
      </c>
      <c r="C24" s="14" t="n">
        <v>42</v>
      </c>
      <c r="D24" s="14" t="n">
        <v>48</v>
      </c>
      <c r="E24" s="3" t="n">
        <f aca="false">IF($C$6=2,D24,C24)</f>
        <v>42</v>
      </c>
      <c r="F24" s="3"/>
      <c r="G24" s="3"/>
      <c r="H24" s="3"/>
      <c r="I24" s="3"/>
      <c r="J24" s="3"/>
      <c r="K24" s="3"/>
    </row>
    <row r="25" customFormat="false" ht="25" hidden="false" customHeight="true" outlineLevel="0" collapsed="false">
      <c r="A25" s="1"/>
      <c r="B25" s="1" t="s">
        <v>38</v>
      </c>
      <c r="C25" s="15" t="n">
        <v>0.6</v>
      </c>
      <c r="D25" s="15" t="n">
        <v>0.6</v>
      </c>
      <c r="E25" s="16" t="n">
        <f aca="false">IF($C$6=2,D25,C25)</f>
        <v>0.6</v>
      </c>
      <c r="F25" s="3"/>
      <c r="G25" s="3"/>
      <c r="H25" s="3"/>
      <c r="I25" s="3"/>
      <c r="J25" s="3"/>
      <c r="K25" s="3"/>
    </row>
    <row r="26" customFormat="false" ht="25" hidden="false" customHeight="true" outlineLevel="0" collapsed="false">
      <c r="A26" s="1"/>
      <c r="B26" s="1" t="s">
        <v>39</v>
      </c>
      <c r="C26" s="17" t="n">
        <v>1.3</v>
      </c>
      <c r="D26" s="17" t="n">
        <v>1.3</v>
      </c>
      <c r="E26" s="18" t="n">
        <f aca="false">IF($C$6=2,D26,C26)</f>
        <v>1.3</v>
      </c>
      <c r="F26" s="3"/>
      <c r="G26" s="3"/>
      <c r="H26" s="3"/>
      <c r="I26" s="3"/>
      <c r="J26" s="3"/>
      <c r="K26" s="3"/>
    </row>
    <row r="27" customFormat="false" ht="25" hidden="false" customHeight="true" outlineLevel="0" collapsed="false">
      <c r="A27" s="1"/>
      <c r="B27" s="1" t="s">
        <v>40</v>
      </c>
      <c r="C27" s="15" t="n">
        <v>0.055</v>
      </c>
      <c r="D27" s="15" t="n">
        <v>0.065</v>
      </c>
      <c r="E27" s="16" t="n">
        <f aca="false">IF($C$6=2,D27,C27)</f>
        <v>0.055</v>
      </c>
      <c r="F27" s="3"/>
      <c r="G27" s="3"/>
      <c r="H27" s="3"/>
      <c r="I27" s="3"/>
      <c r="J27" s="3"/>
      <c r="K27" s="3"/>
    </row>
    <row r="28" customFormat="false" ht="25" hidden="false" customHeight="true" outlineLevel="0" collapsed="false">
      <c r="A28" s="1"/>
      <c r="B28" s="1" t="s">
        <v>41</v>
      </c>
      <c r="C28" s="15" t="n">
        <v>0.0575</v>
      </c>
      <c r="D28" s="15" t="n">
        <v>0.0675</v>
      </c>
      <c r="E28" s="16" t="n">
        <f aca="false">IF($C$6=2,D28,C28)</f>
        <v>0.0575</v>
      </c>
      <c r="F28" s="3"/>
      <c r="G28" s="3"/>
      <c r="H28" s="3"/>
      <c r="I28" s="3"/>
      <c r="J28" s="3"/>
      <c r="K28" s="3"/>
    </row>
    <row r="29" customFormat="false" ht="25" hidden="false" customHeight="true" outlineLevel="0" collapsed="false">
      <c r="A29" s="1"/>
      <c r="B29" s="1" t="s">
        <v>42</v>
      </c>
      <c r="C29" s="15" t="n">
        <v>0.02</v>
      </c>
      <c r="D29" s="15" t="n">
        <v>0.02</v>
      </c>
      <c r="E29" s="16" t="n">
        <f aca="false">IF($C$6=2,D29,C29)</f>
        <v>0.02</v>
      </c>
      <c r="F29" s="3"/>
      <c r="G29" s="3"/>
      <c r="H29" s="3"/>
      <c r="I29" s="3"/>
      <c r="J29" s="3"/>
      <c r="K29" s="3"/>
    </row>
    <row r="30" customFormat="false" ht="25" hidden="false" customHeight="true" outlineLevel="0" collapsed="false">
      <c r="A30" s="1"/>
      <c r="B30" s="1" t="s">
        <v>43</v>
      </c>
      <c r="C30" s="15" t="n">
        <v>0.12</v>
      </c>
      <c r="D30" s="15" t="n">
        <v>0.12</v>
      </c>
      <c r="E30" s="16" t="n">
        <f aca="false">IF($C$6=2,D30,C30)</f>
        <v>0.12</v>
      </c>
      <c r="F30" s="3"/>
      <c r="G30" s="3"/>
      <c r="H30" s="3"/>
      <c r="I30" s="3"/>
      <c r="J30" s="3"/>
      <c r="K30" s="3"/>
    </row>
    <row r="31" customFormat="false" ht="25" hidden="false" customHeight="true" outlineLevel="0" collapsed="false">
      <c r="A31" s="1"/>
      <c r="B31" s="1" t="s">
        <v>44</v>
      </c>
      <c r="C31" s="14" t="n">
        <v>12</v>
      </c>
      <c r="D31" s="14" t="n">
        <v>12</v>
      </c>
      <c r="E31" s="3" t="n">
        <f aca="false">IF($C$6=2,D31,C31)</f>
        <v>12</v>
      </c>
      <c r="F31" s="3"/>
      <c r="G31" s="3"/>
      <c r="H31" s="3"/>
      <c r="I31" s="3"/>
      <c r="J31" s="3"/>
      <c r="K31" s="3"/>
    </row>
    <row r="32" customFormat="false" ht="25" hidden="false" customHeight="true" outlineLevel="0" collapsed="false">
      <c r="A32" s="1"/>
      <c r="B32" s="1" t="s">
        <v>45</v>
      </c>
      <c r="C32" s="15" t="n">
        <v>1</v>
      </c>
      <c r="D32" s="15" t="n">
        <v>1</v>
      </c>
      <c r="E32" s="16" t="n">
        <f aca="false">IF($C$6=2,D32,C32)</f>
        <v>1</v>
      </c>
      <c r="F32" s="3"/>
      <c r="G32" s="3"/>
      <c r="H32" s="3"/>
      <c r="I32" s="3"/>
      <c r="J32" s="3"/>
      <c r="K32" s="3"/>
    </row>
    <row r="33" customFormat="false" ht="25" hidden="false" customHeight="true" outlineLevel="0" collapsed="false">
      <c r="A33" s="1"/>
      <c r="B33" s="1" t="s">
        <v>46</v>
      </c>
      <c r="C33" s="14" t="n">
        <v>0</v>
      </c>
      <c r="D33" s="14" t="n">
        <v>0</v>
      </c>
      <c r="E33" s="3" t="n">
        <f aca="false">IF($C$6=2,D33,C33)</f>
        <v>0</v>
      </c>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dataValidations count="1">
    <dataValidation allowBlank="false" errorStyle="stop" operator="between" showDropDown="false" showErrorMessage="false" showInputMessage="false" sqref="C6" type="list">
      <formula1>"1,2"</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63" min="3" style="0" width="16"/>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47</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t="s">
        <v>48</v>
      </c>
      <c r="C6" s="19" t="n">
        <f aca="false">0</f>
        <v>0</v>
      </c>
      <c r="D6" s="19" t="n">
        <f aca="false">1</f>
        <v>1</v>
      </c>
      <c r="E6" s="19" t="n">
        <f aca="false">2</f>
        <v>2</v>
      </c>
      <c r="F6" s="19" t="n">
        <f aca="false">3</f>
        <v>3</v>
      </c>
      <c r="G6" s="19" t="n">
        <f aca="false">4</f>
        <v>4</v>
      </c>
      <c r="H6" s="19" t="n">
        <f aca="false">5</f>
        <v>5</v>
      </c>
      <c r="I6" s="19" t="n">
        <f aca="false">6</f>
        <v>6</v>
      </c>
      <c r="J6" s="19" t="n">
        <f aca="false">7</f>
        <v>7</v>
      </c>
      <c r="K6" s="19" t="n">
        <f aca="false">8</f>
        <v>8</v>
      </c>
      <c r="L6" s="20" t="n">
        <f aca="false">9</f>
        <v>9</v>
      </c>
      <c r="M6" s="20" t="n">
        <f aca="false">10</f>
        <v>10</v>
      </c>
      <c r="N6" s="20" t="n">
        <f aca="false">11</f>
        <v>11</v>
      </c>
      <c r="O6" s="20" t="n">
        <f aca="false">12</f>
        <v>12</v>
      </c>
      <c r="P6" s="20" t="n">
        <f aca="false">13</f>
        <v>13</v>
      </c>
      <c r="Q6" s="20" t="n">
        <f aca="false">14</f>
        <v>14</v>
      </c>
      <c r="R6" s="20" t="n">
        <f aca="false">15</f>
        <v>15</v>
      </c>
      <c r="S6" s="20" t="n">
        <f aca="false">16</f>
        <v>16</v>
      </c>
      <c r="T6" s="20" t="n">
        <f aca="false">17</f>
        <v>17</v>
      </c>
      <c r="U6" s="20" t="n">
        <f aca="false">18</f>
        <v>18</v>
      </c>
      <c r="V6" s="20" t="n">
        <f aca="false">19</f>
        <v>19</v>
      </c>
      <c r="W6" s="20" t="n">
        <f aca="false">20</f>
        <v>20</v>
      </c>
      <c r="X6" s="20" t="n">
        <f aca="false">21</f>
        <v>21</v>
      </c>
      <c r="Y6" s="20" t="n">
        <f aca="false">22</f>
        <v>22</v>
      </c>
      <c r="Z6" s="20" t="n">
        <f aca="false">23</f>
        <v>23</v>
      </c>
      <c r="AA6" s="20" t="n">
        <f aca="false">24</f>
        <v>24</v>
      </c>
      <c r="AB6" s="20" t="n">
        <f aca="false">25</f>
        <v>25</v>
      </c>
      <c r="AC6" s="20" t="n">
        <f aca="false">26</f>
        <v>26</v>
      </c>
      <c r="AD6" s="20" t="n">
        <f aca="false">27</f>
        <v>27</v>
      </c>
      <c r="AE6" s="20" t="n">
        <f aca="false">28</f>
        <v>28</v>
      </c>
      <c r="AF6" s="20" t="n">
        <f aca="false">29</f>
        <v>29</v>
      </c>
      <c r="AG6" s="20" t="n">
        <f aca="false">30</f>
        <v>30</v>
      </c>
      <c r="AH6" s="20" t="n">
        <f aca="false">31</f>
        <v>31</v>
      </c>
      <c r="AI6" s="20" t="n">
        <f aca="false">32</f>
        <v>32</v>
      </c>
      <c r="AJ6" s="20" t="n">
        <f aca="false">33</f>
        <v>33</v>
      </c>
      <c r="AK6" s="20" t="n">
        <f aca="false">34</f>
        <v>34</v>
      </c>
      <c r="AL6" s="20" t="n">
        <f aca="false">35</f>
        <v>35</v>
      </c>
      <c r="AM6" s="20" t="n">
        <f aca="false">36</f>
        <v>36</v>
      </c>
      <c r="AN6" s="20" t="n">
        <f aca="false">37</f>
        <v>37</v>
      </c>
      <c r="AO6" s="20" t="n">
        <f aca="false">38</f>
        <v>38</v>
      </c>
      <c r="AP6" s="20" t="n">
        <f aca="false">39</f>
        <v>39</v>
      </c>
      <c r="AQ6" s="20" t="n">
        <f aca="false">40</f>
        <v>40</v>
      </c>
      <c r="AR6" s="20" t="n">
        <f aca="false">41</f>
        <v>41</v>
      </c>
      <c r="AS6" s="20" t="n">
        <f aca="false">42</f>
        <v>42</v>
      </c>
      <c r="AT6" s="20" t="n">
        <f aca="false">43</f>
        <v>43</v>
      </c>
      <c r="AU6" s="20" t="n">
        <f aca="false">44</f>
        <v>44</v>
      </c>
      <c r="AV6" s="20" t="n">
        <f aca="false">45</f>
        <v>45</v>
      </c>
      <c r="AW6" s="20" t="n">
        <f aca="false">46</f>
        <v>46</v>
      </c>
      <c r="AX6" s="20" t="n">
        <f aca="false">47</f>
        <v>47</v>
      </c>
      <c r="AY6" s="20" t="n">
        <f aca="false">48</f>
        <v>48</v>
      </c>
      <c r="AZ6" s="20" t="n">
        <f aca="false">49</f>
        <v>49</v>
      </c>
      <c r="BA6" s="20" t="n">
        <f aca="false">50</f>
        <v>50</v>
      </c>
      <c r="BB6" s="20" t="n">
        <f aca="false">51</f>
        <v>51</v>
      </c>
      <c r="BC6" s="20" t="n">
        <f aca="false">52</f>
        <v>52</v>
      </c>
      <c r="BD6" s="20" t="n">
        <f aca="false">53</f>
        <v>53</v>
      </c>
      <c r="BE6" s="20" t="n">
        <f aca="false">54</f>
        <v>54</v>
      </c>
      <c r="BF6" s="20" t="n">
        <f aca="false">55</f>
        <v>55</v>
      </c>
      <c r="BG6" s="20" t="n">
        <f aca="false">56</f>
        <v>56</v>
      </c>
      <c r="BH6" s="20" t="n">
        <f aca="false">57</f>
        <v>57</v>
      </c>
      <c r="BI6" s="20" t="n">
        <f aca="false">58</f>
        <v>58</v>
      </c>
      <c r="BJ6" s="20" t="n">
        <f aca="false">59</f>
        <v>59</v>
      </c>
      <c r="BK6" s="20" t="n">
        <f aca="false">60</f>
        <v>60</v>
      </c>
    </row>
    <row r="7" customFormat="false" ht="25" hidden="false" customHeight="true" outlineLevel="0" collapsed="false">
      <c r="A7" s="1"/>
      <c r="B7" s="1" t="s">
        <v>49</v>
      </c>
      <c r="C7" s="3" t="n">
        <f aca="false">0</f>
        <v>0</v>
      </c>
      <c r="D7" s="3" t="n">
        <f aca="false">IF(D$6&lt;=Assumptions!$E$14,(Assumptions!$E$11*(1+Assumptions!$E$12+Assumptions!$E$13)+Assumptions!$E$33)/Assumptions!$E$14,0)</f>
        <v>195833.333333333</v>
      </c>
      <c r="E7" s="3" t="n">
        <f aca="false">IF(E$6&lt;=Assumptions!$E$14,(Assumptions!$E$11*(1+Assumptions!$E$12+Assumptions!$E$13)+Assumptions!$E$33)/Assumptions!$E$14,0)</f>
        <v>195833.333333333</v>
      </c>
      <c r="F7" s="3" t="n">
        <f aca="false">IF(F$6&lt;=Assumptions!$E$14,(Assumptions!$E$11*(1+Assumptions!$E$12+Assumptions!$E$13)+Assumptions!$E$33)/Assumptions!$E$14,0)</f>
        <v>195833.333333333</v>
      </c>
      <c r="G7" s="3" t="n">
        <f aca="false">IF(G$6&lt;=Assumptions!$E$14,(Assumptions!$E$11*(1+Assumptions!$E$12+Assumptions!$E$13)+Assumptions!$E$33)/Assumptions!$E$14,0)</f>
        <v>195833.333333333</v>
      </c>
      <c r="H7" s="3" t="n">
        <f aca="false">IF(H$6&lt;=Assumptions!$E$14,(Assumptions!$E$11*(1+Assumptions!$E$12+Assumptions!$E$13)+Assumptions!$E$33)/Assumptions!$E$14,0)</f>
        <v>195833.333333333</v>
      </c>
      <c r="I7" s="3" t="n">
        <f aca="false">IF(I$6&lt;=Assumptions!$E$14,(Assumptions!$E$11*(1+Assumptions!$E$12+Assumptions!$E$13)+Assumptions!$E$33)/Assumptions!$E$14,0)</f>
        <v>195833.333333333</v>
      </c>
      <c r="J7" s="3" t="n">
        <f aca="false">IF(J$6&lt;=Assumptions!$E$14,(Assumptions!$E$11*(1+Assumptions!$E$12+Assumptions!$E$13)+Assumptions!$E$33)/Assumptions!$E$14,0)</f>
        <v>0</v>
      </c>
      <c r="K7" s="3" t="n">
        <f aca="false">IF(K$6&lt;=Assumptions!$E$14,(Assumptions!$E$11*(1+Assumptions!$E$12+Assumptions!$E$13)+Assumptions!$E$33)/Assumptions!$E$14,0)</f>
        <v>0</v>
      </c>
      <c r="L7" s="0" t="n">
        <f aca="false">IF(L$6&lt;=Assumptions!$E$14,(Assumptions!$E$11*(1+Assumptions!$E$12+Assumptions!$E$13)+Assumptions!$E$33)/Assumptions!$E$14,0)</f>
        <v>0</v>
      </c>
      <c r="M7" s="0" t="n">
        <f aca="false">IF(M$6&lt;=Assumptions!$E$14,(Assumptions!$E$11*(1+Assumptions!$E$12+Assumptions!$E$13)+Assumptions!$E$33)/Assumptions!$E$14,0)</f>
        <v>0</v>
      </c>
      <c r="N7" s="0" t="n">
        <f aca="false">IF(N$6&lt;=Assumptions!$E$14,(Assumptions!$E$11*(1+Assumptions!$E$12+Assumptions!$E$13)+Assumptions!$E$33)/Assumptions!$E$14,0)</f>
        <v>0</v>
      </c>
      <c r="O7" s="0" t="n">
        <f aca="false">IF(O$6&lt;=Assumptions!$E$14,(Assumptions!$E$11*(1+Assumptions!$E$12+Assumptions!$E$13)+Assumptions!$E$33)/Assumptions!$E$14,0)</f>
        <v>0</v>
      </c>
      <c r="P7" s="0" t="n">
        <f aca="false">IF(P$6&lt;=Assumptions!$E$14,(Assumptions!$E$11*(1+Assumptions!$E$12+Assumptions!$E$13)+Assumptions!$E$33)/Assumptions!$E$14,0)</f>
        <v>0</v>
      </c>
      <c r="Q7" s="0" t="n">
        <f aca="false">IF(Q$6&lt;=Assumptions!$E$14,(Assumptions!$E$11*(1+Assumptions!$E$12+Assumptions!$E$13)+Assumptions!$E$33)/Assumptions!$E$14,0)</f>
        <v>0</v>
      </c>
      <c r="R7" s="0" t="n">
        <f aca="false">IF(R$6&lt;=Assumptions!$E$14,(Assumptions!$E$11*(1+Assumptions!$E$12+Assumptions!$E$13)+Assumptions!$E$33)/Assumptions!$E$14,0)</f>
        <v>0</v>
      </c>
      <c r="S7" s="0" t="n">
        <f aca="false">IF(S$6&lt;=Assumptions!$E$14,(Assumptions!$E$11*(1+Assumptions!$E$12+Assumptions!$E$13)+Assumptions!$E$33)/Assumptions!$E$14,0)</f>
        <v>0</v>
      </c>
      <c r="T7" s="0" t="n">
        <f aca="false">IF(T$6&lt;=Assumptions!$E$14,(Assumptions!$E$11*(1+Assumptions!$E$12+Assumptions!$E$13)+Assumptions!$E$33)/Assumptions!$E$14,0)</f>
        <v>0</v>
      </c>
      <c r="U7" s="0" t="n">
        <f aca="false">IF(U$6&lt;=Assumptions!$E$14,(Assumptions!$E$11*(1+Assumptions!$E$12+Assumptions!$E$13)+Assumptions!$E$33)/Assumptions!$E$14,0)</f>
        <v>0</v>
      </c>
      <c r="V7" s="0" t="n">
        <f aca="false">IF(V$6&lt;=Assumptions!$E$14,(Assumptions!$E$11*(1+Assumptions!$E$12+Assumptions!$E$13)+Assumptions!$E$33)/Assumptions!$E$14,0)</f>
        <v>0</v>
      </c>
      <c r="W7" s="0" t="n">
        <f aca="false">IF(W$6&lt;=Assumptions!$E$14,(Assumptions!$E$11*(1+Assumptions!$E$12+Assumptions!$E$13)+Assumptions!$E$33)/Assumptions!$E$14,0)</f>
        <v>0</v>
      </c>
      <c r="X7" s="0" t="n">
        <f aca="false">IF(X$6&lt;=Assumptions!$E$14,(Assumptions!$E$11*(1+Assumptions!$E$12+Assumptions!$E$13)+Assumptions!$E$33)/Assumptions!$E$14,0)</f>
        <v>0</v>
      </c>
      <c r="Y7" s="0" t="n">
        <f aca="false">IF(Y$6&lt;=Assumptions!$E$14,(Assumptions!$E$11*(1+Assumptions!$E$12+Assumptions!$E$13)+Assumptions!$E$33)/Assumptions!$E$14,0)</f>
        <v>0</v>
      </c>
      <c r="Z7" s="0" t="n">
        <f aca="false">IF(Z$6&lt;=Assumptions!$E$14,(Assumptions!$E$11*(1+Assumptions!$E$12+Assumptions!$E$13)+Assumptions!$E$33)/Assumptions!$E$14,0)</f>
        <v>0</v>
      </c>
      <c r="AA7" s="0" t="n">
        <f aca="false">IF(AA$6&lt;=Assumptions!$E$14,(Assumptions!$E$11*(1+Assumptions!$E$12+Assumptions!$E$13)+Assumptions!$E$33)/Assumptions!$E$14,0)</f>
        <v>0</v>
      </c>
      <c r="AB7" s="0" t="n">
        <f aca="false">IF(AB$6&lt;=Assumptions!$E$14,(Assumptions!$E$11*(1+Assumptions!$E$12+Assumptions!$E$13)+Assumptions!$E$33)/Assumptions!$E$14,0)</f>
        <v>0</v>
      </c>
      <c r="AC7" s="0" t="n">
        <f aca="false">IF(AC$6&lt;=Assumptions!$E$14,(Assumptions!$E$11*(1+Assumptions!$E$12+Assumptions!$E$13)+Assumptions!$E$33)/Assumptions!$E$14,0)</f>
        <v>0</v>
      </c>
      <c r="AD7" s="0" t="n">
        <f aca="false">IF(AD$6&lt;=Assumptions!$E$14,(Assumptions!$E$11*(1+Assumptions!$E$12+Assumptions!$E$13)+Assumptions!$E$33)/Assumptions!$E$14,0)</f>
        <v>0</v>
      </c>
      <c r="AE7" s="0" t="n">
        <f aca="false">IF(AE$6&lt;=Assumptions!$E$14,(Assumptions!$E$11*(1+Assumptions!$E$12+Assumptions!$E$13)+Assumptions!$E$33)/Assumptions!$E$14,0)</f>
        <v>0</v>
      </c>
      <c r="AF7" s="0" t="n">
        <f aca="false">IF(AF$6&lt;=Assumptions!$E$14,(Assumptions!$E$11*(1+Assumptions!$E$12+Assumptions!$E$13)+Assumptions!$E$33)/Assumptions!$E$14,0)</f>
        <v>0</v>
      </c>
      <c r="AG7" s="0" t="n">
        <f aca="false">IF(AG$6&lt;=Assumptions!$E$14,(Assumptions!$E$11*(1+Assumptions!$E$12+Assumptions!$E$13)+Assumptions!$E$33)/Assumptions!$E$14,0)</f>
        <v>0</v>
      </c>
      <c r="AH7" s="0" t="n">
        <f aca="false">IF(AH$6&lt;=Assumptions!$E$14,(Assumptions!$E$11*(1+Assumptions!$E$12+Assumptions!$E$13)+Assumptions!$E$33)/Assumptions!$E$14,0)</f>
        <v>0</v>
      </c>
      <c r="AI7" s="0" t="n">
        <f aca="false">IF(AI$6&lt;=Assumptions!$E$14,(Assumptions!$E$11*(1+Assumptions!$E$12+Assumptions!$E$13)+Assumptions!$E$33)/Assumptions!$E$14,0)</f>
        <v>0</v>
      </c>
      <c r="AJ7" s="0" t="n">
        <f aca="false">IF(AJ$6&lt;=Assumptions!$E$14,(Assumptions!$E$11*(1+Assumptions!$E$12+Assumptions!$E$13)+Assumptions!$E$33)/Assumptions!$E$14,0)</f>
        <v>0</v>
      </c>
      <c r="AK7" s="0" t="n">
        <f aca="false">IF(AK$6&lt;=Assumptions!$E$14,(Assumptions!$E$11*(1+Assumptions!$E$12+Assumptions!$E$13)+Assumptions!$E$33)/Assumptions!$E$14,0)</f>
        <v>0</v>
      </c>
      <c r="AL7" s="0" t="n">
        <f aca="false">IF(AL$6&lt;=Assumptions!$E$14,(Assumptions!$E$11*(1+Assumptions!$E$12+Assumptions!$E$13)+Assumptions!$E$33)/Assumptions!$E$14,0)</f>
        <v>0</v>
      </c>
      <c r="AM7" s="0" t="n">
        <f aca="false">IF(AM$6&lt;=Assumptions!$E$14,(Assumptions!$E$11*(1+Assumptions!$E$12+Assumptions!$E$13)+Assumptions!$E$33)/Assumptions!$E$14,0)</f>
        <v>0</v>
      </c>
      <c r="AN7" s="0" t="n">
        <f aca="false">IF(AN$6&lt;=Assumptions!$E$14,(Assumptions!$E$11*(1+Assumptions!$E$12+Assumptions!$E$13)+Assumptions!$E$33)/Assumptions!$E$14,0)</f>
        <v>0</v>
      </c>
      <c r="AO7" s="0" t="n">
        <f aca="false">IF(AO$6&lt;=Assumptions!$E$14,(Assumptions!$E$11*(1+Assumptions!$E$12+Assumptions!$E$13)+Assumptions!$E$33)/Assumptions!$E$14,0)</f>
        <v>0</v>
      </c>
      <c r="AP7" s="0" t="n">
        <f aca="false">IF(AP$6&lt;=Assumptions!$E$14,(Assumptions!$E$11*(1+Assumptions!$E$12+Assumptions!$E$13)+Assumptions!$E$33)/Assumptions!$E$14,0)</f>
        <v>0</v>
      </c>
      <c r="AQ7" s="0" t="n">
        <f aca="false">IF(AQ$6&lt;=Assumptions!$E$14,(Assumptions!$E$11*(1+Assumptions!$E$12+Assumptions!$E$13)+Assumptions!$E$33)/Assumptions!$E$14,0)</f>
        <v>0</v>
      </c>
      <c r="AR7" s="0" t="n">
        <f aca="false">IF(AR$6&lt;=Assumptions!$E$14,(Assumptions!$E$11*(1+Assumptions!$E$12+Assumptions!$E$13)+Assumptions!$E$33)/Assumptions!$E$14,0)</f>
        <v>0</v>
      </c>
      <c r="AS7" s="0" t="n">
        <f aca="false">IF(AS$6&lt;=Assumptions!$E$14,(Assumptions!$E$11*(1+Assumptions!$E$12+Assumptions!$E$13)+Assumptions!$E$33)/Assumptions!$E$14,0)</f>
        <v>0</v>
      </c>
      <c r="AT7" s="0" t="n">
        <f aca="false">IF(AT$6&lt;=Assumptions!$E$14,(Assumptions!$E$11*(1+Assumptions!$E$12+Assumptions!$E$13)+Assumptions!$E$33)/Assumptions!$E$14,0)</f>
        <v>0</v>
      </c>
      <c r="AU7" s="0" t="n">
        <f aca="false">IF(AU$6&lt;=Assumptions!$E$14,(Assumptions!$E$11*(1+Assumptions!$E$12+Assumptions!$E$13)+Assumptions!$E$33)/Assumptions!$E$14,0)</f>
        <v>0</v>
      </c>
      <c r="AV7" s="0" t="n">
        <f aca="false">IF(AV$6&lt;=Assumptions!$E$14,(Assumptions!$E$11*(1+Assumptions!$E$12+Assumptions!$E$13)+Assumptions!$E$33)/Assumptions!$E$14,0)</f>
        <v>0</v>
      </c>
      <c r="AW7" s="0" t="n">
        <f aca="false">IF(AW$6&lt;=Assumptions!$E$14,(Assumptions!$E$11*(1+Assumptions!$E$12+Assumptions!$E$13)+Assumptions!$E$33)/Assumptions!$E$14,0)</f>
        <v>0</v>
      </c>
      <c r="AX7" s="0" t="n">
        <f aca="false">IF(AX$6&lt;=Assumptions!$E$14,(Assumptions!$E$11*(1+Assumptions!$E$12+Assumptions!$E$13)+Assumptions!$E$33)/Assumptions!$E$14,0)</f>
        <v>0</v>
      </c>
      <c r="AY7" s="0" t="n">
        <f aca="false">IF(AY$6&lt;=Assumptions!$E$14,(Assumptions!$E$11*(1+Assumptions!$E$12+Assumptions!$E$13)+Assumptions!$E$33)/Assumptions!$E$14,0)</f>
        <v>0</v>
      </c>
      <c r="AZ7" s="0" t="n">
        <f aca="false">IF(AZ$6&lt;=Assumptions!$E$14,(Assumptions!$E$11*(1+Assumptions!$E$12+Assumptions!$E$13)+Assumptions!$E$33)/Assumptions!$E$14,0)</f>
        <v>0</v>
      </c>
      <c r="BA7" s="0" t="n">
        <f aca="false">IF(BA$6&lt;=Assumptions!$E$14,(Assumptions!$E$11*(1+Assumptions!$E$12+Assumptions!$E$13)+Assumptions!$E$33)/Assumptions!$E$14,0)</f>
        <v>0</v>
      </c>
      <c r="BB7" s="0" t="n">
        <f aca="false">IF(BB$6&lt;=Assumptions!$E$14,(Assumptions!$E$11*(1+Assumptions!$E$12+Assumptions!$E$13)+Assumptions!$E$33)/Assumptions!$E$14,0)</f>
        <v>0</v>
      </c>
      <c r="BC7" s="0" t="n">
        <f aca="false">IF(BC$6&lt;=Assumptions!$E$14,(Assumptions!$E$11*(1+Assumptions!$E$12+Assumptions!$E$13)+Assumptions!$E$33)/Assumptions!$E$14,0)</f>
        <v>0</v>
      </c>
      <c r="BD7" s="0" t="n">
        <f aca="false">IF(BD$6&lt;=Assumptions!$E$14,(Assumptions!$E$11*(1+Assumptions!$E$12+Assumptions!$E$13)+Assumptions!$E$33)/Assumptions!$E$14,0)</f>
        <v>0</v>
      </c>
      <c r="BE7" s="0" t="n">
        <f aca="false">IF(BE$6&lt;=Assumptions!$E$14,(Assumptions!$E$11*(1+Assumptions!$E$12+Assumptions!$E$13)+Assumptions!$E$33)/Assumptions!$E$14,0)</f>
        <v>0</v>
      </c>
      <c r="BF7" s="0" t="n">
        <f aca="false">IF(BF$6&lt;=Assumptions!$E$14,(Assumptions!$E$11*(1+Assumptions!$E$12+Assumptions!$E$13)+Assumptions!$E$33)/Assumptions!$E$14,0)</f>
        <v>0</v>
      </c>
      <c r="BG7" s="0" t="n">
        <f aca="false">IF(BG$6&lt;=Assumptions!$E$14,(Assumptions!$E$11*(1+Assumptions!$E$12+Assumptions!$E$13)+Assumptions!$E$33)/Assumptions!$E$14,0)</f>
        <v>0</v>
      </c>
      <c r="BH7" s="0" t="n">
        <f aca="false">IF(BH$6&lt;=Assumptions!$E$14,(Assumptions!$E$11*(1+Assumptions!$E$12+Assumptions!$E$13)+Assumptions!$E$33)/Assumptions!$E$14,0)</f>
        <v>0</v>
      </c>
      <c r="BI7" s="0" t="n">
        <f aca="false">IF(BI$6&lt;=Assumptions!$E$14,(Assumptions!$E$11*(1+Assumptions!$E$12+Assumptions!$E$13)+Assumptions!$E$33)/Assumptions!$E$14,0)</f>
        <v>0</v>
      </c>
      <c r="BJ7" s="0" t="n">
        <f aca="false">IF(BJ$6&lt;=Assumptions!$E$14,(Assumptions!$E$11*(1+Assumptions!$E$12+Assumptions!$E$13)+Assumptions!$E$33)/Assumptions!$E$14,0)</f>
        <v>0</v>
      </c>
      <c r="BK7" s="0" t="n">
        <f aca="false">IF(BK$6&lt;=Assumptions!$E$14,(Assumptions!$E$11*(1+Assumptions!$E$12+Assumptions!$E$13)+Assumptions!$E$33)/Assumptions!$E$14,0)</f>
        <v>0</v>
      </c>
    </row>
    <row r="8" customFormat="false" ht="25" hidden="false" customHeight="true" outlineLevel="0" collapsed="false">
      <c r="A8" s="1"/>
      <c r="B8" s="1" t="s">
        <v>50</v>
      </c>
      <c r="C8" s="3" t="n">
        <f aca="false">Assumptions!$E$8*(1+Assumptions!$E$9)</f>
        <v>12720000</v>
      </c>
      <c r="D8" s="3" t="n">
        <f aca="false">0</f>
        <v>0</v>
      </c>
      <c r="E8" s="3" t="n">
        <f aca="false">0</f>
        <v>0</v>
      </c>
      <c r="F8" s="3" t="n">
        <f aca="false">0</f>
        <v>0</v>
      </c>
      <c r="G8" s="3" t="n">
        <f aca="false">0</f>
        <v>0</v>
      </c>
      <c r="H8" s="3" t="n">
        <f aca="false">0</f>
        <v>0</v>
      </c>
      <c r="I8" s="3" t="n">
        <f aca="false">0</f>
        <v>0</v>
      </c>
      <c r="J8" s="3" t="n">
        <f aca="false">0</f>
        <v>0</v>
      </c>
      <c r="K8" s="3" t="n">
        <f aca="false">0</f>
        <v>0</v>
      </c>
      <c r="L8" s="0" t="n">
        <f aca="false">0</f>
        <v>0</v>
      </c>
      <c r="M8" s="0" t="n">
        <f aca="false">0</f>
        <v>0</v>
      </c>
      <c r="N8" s="0" t="n">
        <f aca="false">0</f>
        <v>0</v>
      </c>
      <c r="O8" s="0" t="n">
        <f aca="false">0</f>
        <v>0</v>
      </c>
      <c r="P8" s="0" t="n">
        <f aca="false">0</f>
        <v>0</v>
      </c>
      <c r="Q8" s="0" t="n">
        <f aca="false">0</f>
        <v>0</v>
      </c>
      <c r="R8" s="0" t="n">
        <f aca="false">0</f>
        <v>0</v>
      </c>
      <c r="S8" s="0" t="n">
        <f aca="false">0</f>
        <v>0</v>
      </c>
      <c r="T8" s="0" t="n">
        <f aca="false">0</f>
        <v>0</v>
      </c>
      <c r="U8" s="0" t="n">
        <f aca="false">0</f>
        <v>0</v>
      </c>
      <c r="V8" s="0" t="n">
        <f aca="false">0</f>
        <v>0</v>
      </c>
      <c r="W8" s="0" t="n">
        <f aca="false">0</f>
        <v>0</v>
      </c>
      <c r="X8" s="0" t="n">
        <f aca="false">0</f>
        <v>0</v>
      </c>
      <c r="Y8" s="0" t="n">
        <f aca="false">0</f>
        <v>0</v>
      </c>
      <c r="Z8" s="0" t="n">
        <f aca="false">0</f>
        <v>0</v>
      </c>
      <c r="AA8" s="0" t="n">
        <f aca="false">0</f>
        <v>0</v>
      </c>
      <c r="AB8" s="0" t="n">
        <f aca="false">0</f>
        <v>0</v>
      </c>
      <c r="AC8" s="0" t="n">
        <f aca="false">0</f>
        <v>0</v>
      </c>
      <c r="AD8" s="0" t="n">
        <f aca="false">0</f>
        <v>0</v>
      </c>
      <c r="AE8" s="0" t="n">
        <f aca="false">0</f>
        <v>0</v>
      </c>
      <c r="AF8" s="0" t="n">
        <f aca="false">0</f>
        <v>0</v>
      </c>
      <c r="AG8" s="0" t="n">
        <f aca="false">0</f>
        <v>0</v>
      </c>
      <c r="AH8" s="0" t="n">
        <f aca="false">0</f>
        <v>0</v>
      </c>
      <c r="AI8" s="0" t="n">
        <f aca="false">0</f>
        <v>0</v>
      </c>
      <c r="AJ8" s="0" t="n">
        <f aca="false">0</f>
        <v>0</v>
      </c>
      <c r="AK8" s="0" t="n">
        <f aca="false">0</f>
        <v>0</v>
      </c>
      <c r="AL8" s="0" t="n">
        <f aca="false">0</f>
        <v>0</v>
      </c>
      <c r="AM8" s="0" t="n">
        <f aca="false">0</f>
        <v>0</v>
      </c>
      <c r="AN8" s="0" t="n">
        <f aca="false">0</f>
        <v>0</v>
      </c>
      <c r="AO8" s="0" t="n">
        <f aca="false">0</f>
        <v>0</v>
      </c>
      <c r="AP8" s="0" t="n">
        <f aca="false">0</f>
        <v>0</v>
      </c>
      <c r="AQ8" s="0" t="n">
        <f aca="false">0</f>
        <v>0</v>
      </c>
      <c r="AR8" s="0" t="n">
        <f aca="false">0</f>
        <v>0</v>
      </c>
      <c r="AS8" s="0" t="n">
        <f aca="false">0</f>
        <v>0</v>
      </c>
      <c r="AT8" s="0" t="n">
        <f aca="false">0</f>
        <v>0</v>
      </c>
      <c r="AU8" s="0" t="n">
        <f aca="false">0</f>
        <v>0</v>
      </c>
      <c r="AV8" s="0" t="n">
        <f aca="false">0</f>
        <v>0</v>
      </c>
      <c r="AW8" s="0" t="n">
        <f aca="false">0</f>
        <v>0</v>
      </c>
      <c r="AX8" s="0" t="n">
        <f aca="false">0</f>
        <v>0</v>
      </c>
      <c r="AY8" s="0" t="n">
        <f aca="false">0</f>
        <v>0</v>
      </c>
      <c r="AZ8" s="0" t="n">
        <f aca="false">0</f>
        <v>0</v>
      </c>
      <c r="BA8" s="0" t="n">
        <f aca="false">0</f>
        <v>0</v>
      </c>
      <c r="BB8" s="0" t="n">
        <f aca="false">0</f>
        <v>0</v>
      </c>
      <c r="BC8" s="0" t="n">
        <f aca="false">0</f>
        <v>0</v>
      </c>
      <c r="BD8" s="0" t="n">
        <f aca="false">0</f>
        <v>0</v>
      </c>
      <c r="BE8" s="0" t="n">
        <f aca="false">0</f>
        <v>0</v>
      </c>
      <c r="BF8" s="0" t="n">
        <f aca="false">0</f>
        <v>0</v>
      </c>
      <c r="BG8" s="0" t="n">
        <f aca="false">0</f>
        <v>0</v>
      </c>
      <c r="BH8" s="0" t="n">
        <f aca="false">0</f>
        <v>0</v>
      </c>
      <c r="BI8" s="0" t="n">
        <f aca="false">0</f>
        <v>0</v>
      </c>
      <c r="BJ8" s="0" t="n">
        <f aca="false">0</f>
        <v>0</v>
      </c>
      <c r="BK8" s="0" t="n">
        <f aca="false">0</f>
        <v>0</v>
      </c>
    </row>
    <row r="9" customFormat="false" ht="25" hidden="false" customHeight="true" outlineLevel="0" collapsed="false">
      <c r="A9" s="1"/>
      <c r="B9" s="1" t="s">
        <v>51</v>
      </c>
      <c r="C9" s="3" t="n">
        <f aca="false">SUM(C7:C8)</f>
        <v>12720000</v>
      </c>
      <c r="D9" s="3" t="n">
        <f aca="false">SUM(D7:D8)</f>
        <v>195833.333333333</v>
      </c>
      <c r="E9" s="3" t="n">
        <f aca="false">SUM(E7:E8)</f>
        <v>195833.333333333</v>
      </c>
      <c r="F9" s="3" t="n">
        <f aca="false">SUM(F7:F8)</f>
        <v>195833.333333333</v>
      </c>
      <c r="G9" s="3" t="n">
        <f aca="false">SUM(G7:G8)</f>
        <v>195833.333333333</v>
      </c>
      <c r="H9" s="3" t="n">
        <f aca="false">SUM(H7:H8)</f>
        <v>195833.333333333</v>
      </c>
      <c r="I9" s="3" t="n">
        <f aca="false">SUM(I7:I8)</f>
        <v>195833.333333333</v>
      </c>
      <c r="J9" s="3" t="n">
        <f aca="false">SUM(J7:J8)</f>
        <v>0</v>
      </c>
      <c r="K9" s="3" t="n">
        <f aca="false">SUM(K7:K8)</f>
        <v>0</v>
      </c>
      <c r="L9" s="0" t="n">
        <f aca="false">SUM(L7:L8)</f>
        <v>0</v>
      </c>
      <c r="M9" s="0" t="n">
        <f aca="false">SUM(M7:M8)</f>
        <v>0</v>
      </c>
      <c r="N9" s="0" t="n">
        <f aca="false">SUM(N7:N8)</f>
        <v>0</v>
      </c>
      <c r="O9" s="0" t="n">
        <f aca="false">SUM(O7:O8)</f>
        <v>0</v>
      </c>
      <c r="P9" s="0" t="n">
        <f aca="false">SUM(P7:P8)</f>
        <v>0</v>
      </c>
      <c r="Q9" s="0" t="n">
        <f aca="false">SUM(Q7:Q8)</f>
        <v>0</v>
      </c>
      <c r="R9" s="0" t="n">
        <f aca="false">SUM(R7:R8)</f>
        <v>0</v>
      </c>
      <c r="S9" s="0" t="n">
        <f aca="false">SUM(S7:S8)</f>
        <v>0</v>
      </c>
      <c r="T9" s="0" t="n">
        <f aca="false">SUM(T7:T8)</f>
        <v>0</v>
      </c>
      <c r="U9" s="0" t="n">
        <f aca="false">SUM(U7:U8)</f>
        <v>0</v>
      </c>
      <c r="V9" s="0" t="n">
        <f aca="false">SUM(V7:V8)</f>
        <v>0</v>
      </c>
      <c r="W9" s="0" t="n">
        <f aca="false">SUM(W7:W8)</f>
        <v>0</v>
      </c>
      <c r="X9" s="0" t="n">
        <f aca="false">SUM(X7:X8)</f>
        <v>0</v>
      </c>
      <c r="Y9" s="0" t="n">
        <f aca="false">SUM(Y7:Y8)</f>
        <v>0</v>
      </c>
      <c r="Z9" s="0" t="n">
        <f aca="false">SUM(Z7:Z8)</f>
        <v>0</v>
      </c>
      <c r="AA9" s="0" t="n">
        <f aca="false">SUM(AA7:AA8)</f>
        <v>0</v>
      </c>
      <c r="AB9" s="0" t="n">
        <f aca="false">SUM(AB7:AB8)</f>
        <v>0</v>
      </c>
      <c r="AC9" s="0" t="n">
        <f aca="false">SUM(AC7:AC8)</f>
        <v>0</v>
      </c>
      <c r="AD9" s="0" t="n">
        <f aca="false">SUM(AD7:AD8)</f>
        <v>0</v>
      </c>
      <c r="AE9" s="0" t="n">
        <f aca="false">SUM(AE7:AE8)</f>
        <v>0</v>
      </c>
      <c r="AF9" s="0" t="n">
        <f aca="false">SUM(AF7:AF8)</f>
        <v>0</v>
      </c>
      <c r="AG9" s="0" t="n">
        <f aca="false">SUM(AG7:AG8)</f>
        <v>0</v>
      </c>
      <c r="AH9" s="0" t="n">
        <f aca="false">SUM(AH7:AH8)</f>
        <v>0</v>
      </c>
      <c r="AI9" s="0" t="n">
        <f aca="false">SUM(AI7:AI8)</f>
        <v>0</v>
      </c>
      <c r="AJ9" s="0" t="n">
        <f aca="false">SUM(AJ7:AJ8)</f>
        <v>0</v>
      </c>
      <c r="AK9" s="0" t="n">
        <f aca="false">SUM(AK7:AK8)</f>
        <v>0</v>
      </c>
      <c r="AL9" s="0" t="n">
        <f aca="false">SUM(AL7:AL8)</f>
        <v>0</v>
      </c>
      <c r="AM9" s="0" t="n">
        <f aca="false">SUM(AM7:AM8)</f>
        <v>0</v>
      </c>
      <c r="AN9" s="0" t="n">
        <f aca="false">SUM(AN7:AN8)</f>
        <v>0</v>
      </c>
      <c r="AO9" s="0" t="n">
        <f aca="false">SUM(AO7:AO8)</f>
        <v>0</v>
      </c>
      <c r="AP9" s="0" t="n">
        <f aca="false">SUM(AP7:AP8)</f>
        <v>0</v>
      </c>
      <c r="AQ9" s="0" t="n">
        <f aca="false">SUM(AQ7:AQ8)</f>
        <v>0</v>
      </c>
      <c r="AR9" s="0" t="n">
        <f aca="false">SUM(AR7:AR8)</f>
        <v>0</v>
      </c>
      <c r="AS9" s="0" t="n">
        <f aca="false">SUM(AS7:AS8)</f>
        <v>0</v>
      </c>
      <c r="AT9" s="0" t="n">
        <f aca="false">SUM(AT7:AT8)</f>
        <v>0</v>
      </c>
      <c r="AU9" s="0" t="n">
        <f aca="false">SUM(AU7:AU8)</f>
        <v>0</v>
      </c>
      <c r="AV9" s="0" t="n">
        <f aca="false">SUM(AV7:AV8)</f>
        <v>0</v>
      </c>
      <c r="AW9" s="0" t="n">
        <f aca="false">SUM(AW7:AW8)</f>
        <v>0</v>
      </c>
      <c r="AX9" s="0" t="n">
        <f aca="false">SUM(AX7:AX8)</f>
        <v>0</v>
      </c>
      <c r="AY9" s="0" t="n">
        <f aca="false">SUM(AY7:AY8)</f>
        <v>0</v>
      </c>
      <c r="AZ9" s="0" t="n">
        <f aca="false">SUM(AZ7:AZ8)</f>
        <v>0</v>
      </c>
      <c r="BA9" s="0" t="n">
        <f aca="false">SUM(BA7:BA8)</f>
        <v>0</v>
      </c>
      <c r="BB9" s="0" t="n">
        <f aca="false">SUM(BB7:BB8)</f>
        <v>0</v>
      </c>
      <c r="BC9" s="0" t="n">
        <f aca="false">SUM(BC7:BC8)</f>
        <v>0</v>
      </c>
      <c r="BD9" s="0" t="n">
        <f aca="false">SUM(BD7:BD8)</f>
        <v>0</v>
      </c>
      <c r="BE9" s="0" t="n">
        <f aca="false">SUM(BE7:BE8)</f>
        <v>0</v>
      </c>
      <c r="BF9" s="0" t="n">
        <f aca="false">SUM(BF7:BF8)</f>
        <v>0</v>
      </c>
      <c r="BG9" s="0" t="n">
        <f aca="false">SUM(BG7:BG8)</f>
        <v>0</v>
      </c>
      <c r="BH9" s="0" t="n">
        <f aca="false">SUM(BH7:BH8)</f>
        <v>0</v>
      </c>
      <c r="BI9" s="0" t="n">
        <f aca="false">SUM(BI7:BI8)</f>
        <v>0</v>
      </c>
      <c r="BJ9" s="0" t="n">
        <f aca="false">SUM(BJ7:BJ8)</f>
        <v>0</v>
      </c>
      <c r="BK9" s="0" t="n">
        <f aca="false">SUM(BK7:BK8)</f>
        <v>0</v>
      </c>
    </row>
    <row r="10" customFormat="false" ht="25" hidden="false" customHeight="true" outlineLevel="0" collapsed="false">
      <c r="A10" s="1"/>
      <c r="B10" s="1" t="s">
        <v>52</v>
      </c>
      <c r="C10" s="3" t="n">
        <f aca="false">C9*Assumptions!$E$22</f>
        <v>8268000</v>
      </c>
      <c r="D10" s="3" t="n">
        <f aca="false">D9*Assumptions!$E$22</f>
        <v>127291.666666667</v>
      </c>
      <c r="E10" s="3" t="n">
        <f aca="false">E9*Assumptions!$E$22</f>
        <v>127291.666666667</v>
      </c>
      <c r="F10" s="3" t="n">
        <f aca="false">F9*Assumptions!$E$22</f>
        <v>127291.666666667</v>
      </c>
      <c r="G10" s="3" t="n">
        <f aca="false">G9*Assumptions!$E$22</f>
        <v>127291.666666667</v>
      </c>
      <c r="H10" s="3" t="n">
        <f aca="false">H9*Assumptions!$E$22</f>
        <v>127291.666666667</v>
      </c>
      <c r="I10" s="3" t="n">
        <f aca="false">I9*Assumptions!$E$22</f>
        <v>127291.666666667</v>
      </c>
      <c r="J10" s="3" t="n">
        <f aca="false">J9*Assumptions!$E$22</f>
        <v>0</v>
      </c>
      <c r="K10" s="3" t="n">
        <f aca="false">K9*Assumptions!$E$22</f>
        <v>0</v>
      </c>
      <c r="L10" s="0" t="n">
        <f aca="false">L9*Assumptions!$E$22</f>
        <v>0</v>
      </c>
      <c r="M10" s="0" t="n">
        <f aca="false">M9*Assumptions!$E$22</f>
        <v>0</v>
      </c>
      <c r="N10" s="0" t="n">
        <f aca="false">N9*Assumptions!$E$22</f>
        <v>0</v>
      </c>
      <c r="O10" s="0" t="n">
        <f aca="false">O9*Assumptions!$E$22</f>
        <v>0</v>
      </c>
      <c r="P10" s="0" t="n">
        <f aca="false">P9*Assumptions!$E$22</f>
        <v>0</v>
      </c>
      <c r="Q10" s="0" t="n">
        <f aca="false">Q9*Assumptions!$E$22</f>
        <v>0</v>
      </c>
      <c r="R10" s="0" t="n">
        <f aca="false">R9*Assumptions!$E$22</f>
        <v>0</v>
      </c>
      <c r="S10" s="0" t="n">
        <f aca="false">S9*Assumptions!$E$22</f>
        <v>0</v>
      </c>
      <c r="T10" s="0" t="n">
        <f aca="false">T9*Assumptions!$E$22</f>
        <v>0</v>
      </c>
      <c r="U10" s="0" t="n">
        <f aca="false">U9*Assumptions!$E$22</f>
        <v>0</v>
      </c>
      <c r="V10" s="0" t="n">
        <f aca="false">V9*Assumptions!$E$22</f>
        <v>0</v>
      </c>
      <c r="W10" s="0" t="n">
        <f aca="false">W9*Assumptions!$E$22</f>
        <v>0</v>
      </c>
      <c r="X10" s="0" t="n">
        <f aca="false">X9*Assumptions!$E$22</f>
        <v>0</v>
      </c>
      <c r="Y10" s="0" t="n">
        <f aca="false">Y9*Assumptions!$E$22</f>
        <v>0</v>
      </c>
      <c r="Z10" s="0" t="n">
        <f aca="false">Z9*Assumptions!$E$22</f>
        <v>0</v>
      </c>
      <c r="AA10" s="0" t="n">
        <f aca="false">AA9*Assumptions!$E$22</f>
        <v>0</v>
      </c>
      <c r="AB10" s="0" t="n">
        <f aca="false">AB9*Assumptions!$E$22</f>
        <v>0</v>
      </c>
      <c r="AC10" s="0" t="n">
        <f aca="false">AC9*Assumptions!$E$22</f>
        <v>0</v>
      </c>
      <c r="AD10" s="0" t="n">
        <f aca="false">AD9*Assumptions!$E$22</f>
        <v>0</v>
      </c>
      <c r="AE10" s="0" t="n">
        <f aca="false">AE9*Assumptions!$E$22</f>
        <v>0</v>
      </c>
      <c r="AF10" s="0" t="n">
        <f aca="false">AF9*Assumptions!$E$22</f>
        <v>0</v>
      </c>
      <c r="AG10" s="0" t="n">
        <f aca="false">AG9*Assumptions!$E$22</f>
        <v>0</v>
      </c>
      <c r="AH10" s="0" t="n">
        <f aca="false">AH9*Assumptions!$E$22</f>
        <v>0</v>
      </c>
      <c r="AI10" s="0" t="n">
        <f aca="false">AI9*Assumptions!$E$22</f>
        <v>0</v>
      </c>
      <c r="AJ10" s="0" t="n">
        <f aca="false">AJ9*Assumptions!$E$22</f>
        <v>0</v>
      </c>
      <c r="AK10" s="0" t="n">
        <f aca="false">AK9*Assumptions!$E$22</f>
        <v>0</v>
      </c>
      <c r="AL10" s="0" t="n">
        <f aca="false">AL9*Assumptions!$E$22</f>
        <v>0</v>
      </c>
      <c r="AM10" s="0" t="n">
        <f aca="false">AM9*Assumptions!$E$22</f>
        <v>0</v>
      </c>
      <c r="AN10" s="0" t="n">
        <f aca="false">AN9*Assumptions!$E$22</f>
        <v>0</v>
      </c>
      <c r="AO10" s="0" t="n">
        <f aca="false">AO9*Assumptions!$E$22</f>
        <v>0</v>
      </c>
      <c r="AP10" s="0" t="n">
        <f aca="false">AP9*Assumptions!$E$22</f>
        <v>0</v>
      </c>
      <c r="AQ10" s="0" t="n">
        <f aca="false">AQ9*Assumptions!$E$22</f>
        <v>0</v>
      </c>
      <c r="AR10" s="0" t="n">
        <f aca="false">AR9*Assumptions!$E$22</f>
        <v>0</v>
      </c>
      <c r="AS10" s="0" t="n">
        <f aca="false">AS9*Assumptions!$E$22</f>
        <v>0</v>
      </c>
      <c r="AT10" s="0" t="n">
        <f aca="false">AT9*Assumptions!$E$22</f>
        <v>0</v>
      </c>
      <c r="AU10" s="0" t="n">
        <f aca="false">AU9*Assumptions!$E$22</f>
        <v>0</v>
      </c>
      <c r="AV10" s="0" t="n">
        <f aca="false">AV9*Assumptions!$E$22</f>
        <v>0</v>
      </c>
      <c r="AW10" s="0" t="n">
        <f aca="false">AW9*Assumptions!$E$22</f>
        <v>0</v>
      </c>
      <c r="AX10" s="0" t="n">
        <f aca="false">AX9*Assumptions!$E$22</f>
        <v>0</v>
      </c>
      <c r="AY10" s="0" t="n">
        <f aca="false">AY9*Assumptions!$E$22</f>
        <v>0</v>
      </c>
      <c r="AZ10" s="0" t="n">
        <f aca="false">AZ9*Assumptions!$E$22</f>
        <v>0</v>
      </c>
      <c r="BA10" s="0" t="n">
        <f aca="false">BA9*Assumptions!$E$22</f>
        <v>0</v>
      </c>
      <c r="BB10" s="0" t="n">
        <f aca="false">BB9*Assumptions!$E$22</f>
        <v>0</v>
      </c>
      <c r="BC10" s="0" t="n">
        <f aca="false">BC9*Assumptions!$E$22</f>
        <v>0</v>
      </c>
      <c r="BD10" s="0" t="n">
        <f aca="false">BD9*Assumptions!$E$22</f>
        <v>0</v>
      </c>
      <c r="BE10" s="0" t="n">
        <f aca="false">BE9*Assumptions!$E$22</f>
        <v>0</v>
      </c>
      <c r="BF10" s="0" t="n">
        <f aca="false">BF9*Assumptions!$E$22</f>
        <v>0</v>
      </c>
      <c r="BG10" s="0" t="n">
        <f aca="false">BG9*Assumptions!$E$22</f>
        <v>0</v>
      </c>
      <c r="BH10" s="0" t="n">
        <f aca="false">BH9*Assumptions!$E$22</f>
        <v>0</v>
      </c>
      <c r="BI10" s="0" t="n">
        <f aca="false">BI9*Assumptions!$E$22</f>
        <v>0</v>
      </c>
      <c r="BJ10" s="0" t="n">
        <f aca="false">BJ9*Assumptions!$E$22</f>
        <v>0</v>
      </c>
      <c r="BK10" s="0" t="n">
        <f aca="false">BK9*Assumptions!$E$22</f>
        <v>0</v>
      </c>
    </row>
    <row r="11" customFormat="false" ht="25" hidden="false" customHeight="true" outlineLevel="0" collapsed="false">
      <c r="A11" s="1"/>
      <c r="B11" s="1" t="s">
        <v>53</v>
      </c>
      <c r="C11" s="16" t="n">
        <f aca="false">0</f>
        <v>0</v>
      </c>
      <c r="D11" s="16" t="n">
        <f aca="false">IF(D$6&lt;=Assumptions!$E$14,Assumptions!$E$32,MIN(1,(D$6-Assumptions!$E$14)/Assumptions!$E$15))</f>
        <v>1</v>
      </c>
      <c r="E11" s="16" t="n">
        <f aca="false">IF(E$6&lt;=Assumptions!$E$14,Assumptions!$E$32,MIN(1,(E$6-Assumptions!$E$14)/Assumptions!$E$15))</f>
        <v>1</v>
      </c>
      <c r="F11" s="16" t="n">
        <f aca="false">IF(F$6&lt;=Assumptions!$E$14,Assumptions!$E$32,MIN(1,(F$6-Assumptions!$E$14)/Assumptions!$E$15))</f>
        <v>1</v>
      </c>
      <c r="G11" s="16" t="n">
        <f aca="false">IF(G$6&lt;=Assumptions!$E$14,Assumptions!$E$32,MIN(1,(G$6-Assumptions!$E$14)/Assumptions!$E$15))</f>
        <v>1</v>
      </c>
      <c r="H11" s="16" t="n">
        <f aca="false">IF(H$6&lt;=Assumptions!$E$14,Assumptions!$E$32,MIN(1,(H$6-Assumptions!$E$14)/Assumptions!$E$15))</f>
        <v>1</v>
      </c>
      <c r="I11" s="16" t="n">
        <f aca="false">IF(I$6&lt;=Assumptions!$E$14,Assumptions!$E$32,MIN(1,(I$6-Assumptions!$E$14)/Assumptions!$E$15))</f>
        <v>1</v>
      </c>
      <c r="J11" s="16" t="n">
        <f aca="false">IF(J$6&lt;=Assumptions!$E$14,Assumptions!$E$32,MIN(1,(J$6-Assumptions!$E$14)/Assumptions!$E$15))</f>
        <v>0.0833333333333333</v>
      </c>
      <c r="K11" s="16" t="n">
        <f aca="false">IF(K$6&lt;=Assumptions!$E$14,Assumptions!$E$32,MIN(1,(K$6-Assumptions!$E$14)/Assumptions!$E$15))</f>
        <v>0.166666666666667</v>
      </c>
      <c r="L11" s="21" t="n">
        <f aca="false">IF(L$6&lt;=Assumptions!$E$14,Assumptions!$E$32,MIN(1,(L$6-Assumptions!$E$14)/Assumptions!$E$15))</f>
        <v>0.25</v>
      </c>
      <c r="M11" s="21" t="n">
        <f aca="false">IF(M$6&lt;=Assumptions!$E$14,Assumptions!$E$32,MIN(1,(M$6-Assumptions!$E$14)/Assumptions!$E$15))</f>
        <v>0.333333333333333</v>
      </c>
      <c r="N11" s="21" t="n">
        <f aca="false">IF(N$6&lt;=Assumptions!$E$14,Assumptions!$E$32,MIN(1,(N$6-Assumptions!$E$14)/Assumptions!$E$15))</f>
        <v>0.416666666666667</v>
      </c>
      <c r="O11" s="21" t="n">
        <f aca="false">IF(O$6&lt;=Assumptions!$E$14,Assumptions!$E$32,MIN(1,(O$6-Assumptions!$E$14)/Assumptions!$E$15))</f>
        <v>0.5</v>
      </c>
      <c r="P11" s="21" t="n">
        <f aca="false">IF(P$6&lt;=Assumptions!$E$14,Assumptions!$E$32,MIN(1,(P$6-Assumptions!$E$14)/Assumptions!$E$15))</f>
        <v>0.583333333333333</v>
      </c>
      <c r="Q11" s="21" t="n">
        <f aca="false">IF(Q$6&lt;=Assumptions!$E$14,Assumptions!$E$32,MIN(1,(Q$6-Assumptions!$E$14)/Assumptions!$E$15))</f>
        <v>0.666666666666667</v>
      </c>
      <c r="R11" s="21" t="n">
        <f aca="false">IF(R$6&lt;=Assumptions!$E$14,Assumptions!$E$32,MIN(1,(R$6-Assumptions!$E$14)/Assumptions!$E$15))</f>
        <v>0.75</v>
      </c>
      <c r="S11" s="21" t="n">
        <f aca="false">IF(S$6&lt;=Assumptions!$E$14,Assumptions!$E$32,MIN(1,(S$6-Assumptions!$E$14)/Assumptions!$E$15))</f>
        <v>0.833333333333333</v>
      </c>
      <c r="T11" s="21" t="n">
        <f aca="false">IF(T$6&lt;=Assumptions!$E$14,Assumptions!$E$32,MIN(1,(T$6-Assumptions!$E$14)/Assumptions!$E$15))</f>
        <v>0.916666666666667</v>
      </c>
      <c r="U11" s="21" t="n">
        <f aca="false">IF(U$6&lt;=Assumptions!$E$14,Assumptions!$E$32,MIN(1,(U$6-Assumptions!$E$14)/Assumptions!$E$15))</f>
        <v>1</v>
      </c>
      <c r="V11" s="21" t="n">
        <f aca="false">IF(V$6&lt;=Assumptions!$E$14,Assumptions!$E$32,MIN(1,(V$6-Assumptions!$E$14)/Assumptions!$E$15))</f>
        <v>1</v>
      </c>
      <c r="W11" s="21" t="n">
        <f aca="false">IF(W$6&lt;=Assumptions!$E$14,Assumptions!$E$32,MIN(1,(W$6-Assumptions!$E$14)/Assumptions!$E$15))</f>
        <v>1</v>
      </c>
      <c r="X11" s="21" t="n">
        <f aca="false">IF(X$6&lt;=Assumptions!$E$14,Assumptions!$E$32,MIN(1,(X$6-Assumptions!$E$14)/Assumptions!$E$15))</f>
        <v>1</v>
      </c>
      <c r="Y11" s="21" t="n">
        <f aca="false">IF(Y$6&lt;=Assumptions!$E$14,Assumptions!$E$32,MIN(1,(Y$6-Assumptions!$E$14)/Assumptions!$E$15))</f>
        <v>1</v>
      </c>
      <c r="Z11" s="21" t="n">
        <f aca="false">IF(Z$6&lt;=Assumptions!$E$14,Assumptions!$E$32,MIN(1,(Z$6-Assumptions!$E$14)/Assumptions!$E$15))</f>
        <v>1</v>
      </c>
      <c r="AA11" s="21" t="n">
        <f aca="false">IF(AA$6&lt;=Assumptions!$E$14,Assumptions!$E$32,MIN(1,(AA$6-Assumptions!$E$14)/Assumptions!$E$15))</f>
        <v>1</v>
      </c>
      <c r="AB11" s="21" t="n">
        <f aca="false">IF(AB$6&lt;=Assumptions!$E$14,Assumptions!$E$32,MIN(1,(AB$6-Assumptions!$E$14)/Assumptions!$E$15))</f>
        <v>1</v>
      </c>
      <c r="AC11" s="21" t="n">
        <f aca="false">IF(AC$6&lt;=Assumptions!$E$14,Assumptions!$E$32,MIN(1,(AC$6-Assumptions!$E$14)/Assumptions!$E$15))</f>
        <v>1</v>
      </c>
      <c r="AD11" s="21" t="n">
        <f aca="false">IF(AD$6&lt;=Assumptions!$E$14,Assumptions!$E$32,MIN(1,(AD$6-Assumptions!$E$14)/Assumptions!$E$15))</f>
        <v>1</v>
      </c>
      <c r="AE11" s="21" t="n">
        <f aca="false">IF(AE$6&lt;=Assumptions!$E$14,Assumptions!$E$32,MIN(1,(AE$6-Assumptions!$E$14)/Assumptions!$E$15))</f>
        <v>1</v>
      </c>
      <c r="AF11" s="21" t="n">
        <f aca="false">IF(AF$6&lt;=Assumptions!$E$14,Assumptions!$E$32,MIN(1,(AF$6-Assumptions!$E$14)/Assumptions!$E$15))</f>
        <v>1</v>
      </c>
      <c r="AG11" s="21" t="n">
        <f aca="false">IF(AG$6&lt;=Assumptions!$E$14,Assumptions!$E$32,MIN(1,(AG$6-Assumptions!$E$14)/Assumptions!$E$15))</f>
        <v>1</v>
      </c>
      <c r="AH11" s="21" t="n">
        <f aca="false">IF(AH$6&lt;=Assumptions!$E$14,Assumptions!$E$32,MIN(1,(AH$6-Assumptions!$E$14)/Assumptions!$E$15))</f>
        <v>1</v>
      </c>
      <c r="AI11" s="21" t="n">
        <f aca="false">IF(AI$6&lt;=Assumptions!$E$14,Assumptions!$E$32,MIN(1,(AI$6-Assumptions!$E$14)/Assumptions!$E$15))</f>
        <v>1</v>
      </c>
      <c r="AJ11" s="21" t="n">
        <f aca="false">IF(AJ$6&lt;=Assumptions!$E$14,Assumptions!$E$32,MIN(1,(AJ$6-Assumptions!$E$14)/Assumptions!$E$15))</f>
        <v>1</v>
      </c>
      <c r="AK11" s="21" t="n">
        <f aca="false">IF(AK$6&lt;=Assumptions!$E$14,Assumptions!$E$32,MIN(1,(AK$6-Assumptions!$E$14)/Assumptions!$E$15))</f>
        <v>1</v>
      </c>
      <c r="AL11" s="21" t="n">
        <f aca="false">IF(AL$6&lt;=Assumptions!$E$14,Assumptions!$E$32,MIN(1,(AL$6-Assumptions!$E$14)/Assumptions!$E$15))</f>
        <v>1</v>
      </c>
      <c r="AM11" s="21" t="n">
        <f aca="false">IF(AM$6&lt;=Assumptions!$E$14,Assumptions!$E$32,MIN(1,(AM$6-Assumptions!$E$14)/Assumptions!$E$15))</f>
        <v>1</v>
      </c>
      <c r="AN11" s="21" t="n">
        <f aca="false">IF(AN$6&lt;=Assumptions!$E$14,Assumptions!$E$32,MIN(1,(AN$6-Assumptions!$E$14)/Assumptions!$E$15))</f>
        <v>1</v>
      </c>
      <c r="AO11" s="21" t="n">
        <f aca="false">IF(AO$6&lt;=Assumptions!$E$14,Assumptions!$E$32,MIN(1,(AO$6-Assumptions!$E$14)/Assumptions!$E$15))</f>
        <v>1</v>
      </c>
      <c r="AP11" s="21" t="n">
        <f aca="false">IF(AP$6&lt;=Assumptions!$E$14,Assumptions!$E$32,MIN(1,(AP$6-Assumptions!$E$14)/Assumptions!$E$15))</f>
        <v>1</v>
      </c>
      <c r="AQ11" s="21" t="n">
        <f aca="false">IF(AQ$6&lt;=Assumptions!$E$14,Assumptions!$E$32,MIN(1,(AQ$6-Assumptions!$E$14)/Assumptions!$E$15))</f>
        <v>1</v>
      </c>
      <c r="AR11" s="21" t="n">
        <f aca="false">IF(AR$6&lt;=Assumptions!$E$14,Assumptions!$E$32,MIN(1,(AR$6-Assumptions!$E$14)/Assumptions!$E$15))</f>
        <v>1</v>
      </c>
      <c r="AS11" s="21" t="n">
        <f aca="false">IF(AS$6&lt;=Assumptions!$E$14,Assumptions!$E$32,MIN(1,(AS$6-Assumptions!$E$14)/Assumptions!$E$15))</f>
        <v>1</v>
      </c>
      <c r="AT11" s="21" t="n">
        <f aca="false">IF(AT$6&lt;=Assumptions!$E$14,Assumptions!$E$32,MIN(1,(AT$6-Assumptions!$E$14)/Assumptions!$E$15))</f>
        <v>1</v>
      </c>
      <c r="AU11" s="21" t="n">
        <f aca="false">IF(AU$6&lt;=Assumptions!$E$14,Assumptions!$E$32,MIN(1,(AU$6-Assumptions!$E$14)/Assumptions!$E$15))</f>
        <v>1</v>
      </c>
      <c r="AV11" s="21" t="n">
        <f aca="false">IF(AV$6&lt;=Assumptions!$E$14,Assumptions!$E$32,MIN(1,(AV$6-Assumptions!$E$14)/Assumptions!$E$15))</f>
        <v>1</v>
      </c>
      <c r="AW11" s="21" t="n">
        <f aca="false">IF(AW$6&lt;=Assumptions!$E$14,Assumptions!$E$32,MIN(1,(AW$6-Assumptions!$E$14)/Assumptions!$E$15))</f>
        <v>1</v>
      </c>
      <c r="AX11" s="21" t="n">
        <f aca="false">IF(AX$6&lt;=Assumptions!$E$14,Assumptions!$E$32,MIN(1,(AX$6-Assumptions!$E$14)/Assumptions!$E$15))</f>
        <v>1</v>
      </c>
      <c r="AY11" s="21" t="n">
        <f aca="false">IF(AY$6&lt;=Assumptions!$E$14,Assumptions!$E$32,MIN(1,(AY$6-Assumptions!$E$14)/Assumptions!$E$15))</f>
        <v>1</v>
      </c>
      <c r="AZ11" s="21" t="n">
        <f aca="false">IF(AZ$6&lt;=Assumptions!$E$14,Assumptions!$E$32,MIN(1,(AZ$6-Assumptions!$E$14)/Assumptions!$E$15))</f>
        <v>1</v>
      </c>
      <c r="BA11" s="21" t="n">
        <f aca="false">IF(BA$6&lt;=Assumptions!$E$14,Assumptions!$E$32,MIN(1,(BA$6-Assumptions!$E$14)/Assumptions!$E$15))</f>
        <v>1</v>
      </c>
      <c r="BB11" s="21" t="n">
        <f aca="false">IF(BB$6&lt;=Assumptions!$E$14,Assumptions!$E$32,MIN(1,(BB$6-Assumptions!$E$14)/Assumptions!$E$15))</f>
        <v>1</v>
      </c>
      <c r="BC11" s="21" t="n">
        <f aca="false">IF(BC$6&lt;=Assumptions!$E$14,Assumptions!$E$32,MIN(1,(BC$6-Assumptions!$E$14)/Assumptions!$E$15))</f>
        <v>1</v>
      </c>
      <c r="BD11" s="21" t="n">
        <f aca="false">IF(BD$6&lt;=Assumptions!$E$14,Assumptions!$E$32,MIN(1,(BD$6-Assumptions!$E$14)/Assumptions!$E$15))</f>
        <v>1</v>
      </c>
      <c r="BE11" s="21" t="n">
        <f aca="false">IF(BE$6&lt;=Assumptions!$E$14,Assumptions!$E$32,MIN(1,(BE$6-Assumptions!$E$14)/Assumptions!$E$15))</f>
        <v>1</v>
      </c>
      <c r="BF11" s="21" t="n">
        <f aca="false">IF(BF$6&lt;=Assumptions!$E$14,Assumptions!$E$32,MIN(1,(BF$6-Assumptions!$E$14)/Assumptions!$E$15))</f>
        <v>1</v>
      </c>
      <c r="BG11" s="21" t="n">
        <f aca="false">IF(BG$6&lt;=Assumptions!$E$14,Assumptions!$E$32,MIN(1,(BG$6-Assumptions!$E$14)/Assumptions!$E$15))</f>
        <v>1</v>
      </c>
      <c r="BH11" s="21" t="n">
        <f aca="false">IF(BH$6&lt;=Assumptions!$E$14,Assumptions!$E$32,MIN(1,(BH$6-Assumptions!$E$14)/Assumptions!$E$15))</f>
        <v>1</v>
      </c>
      <c r="BI11" s="21" t="n">
        <f aca="false">IF(BI$6&lt;=Assumptions!$E$14,Assumptions!$E$32,MIN(1,(BI$6-Assumptions!$E$14)/Assumptions!$E$15))</f>
        <v>1</v>
      </c>
      <c r="BJ11" s="21" t="n">
        <f aca="false">IF(BJ$6&lt;=Assumptions!$E$14,Assumptions!$E$32,MIN(1,(BJ$6-Assumptions!$E$14)/Assumptions!$E$15))</f>
        <v>1</v>
      </c>
      <c r="BK11" s="21" t="n">
        <f aca="false">IF(BK$6&lt;=Assumptions!$E$14,Assumptions!$E$32,MIN(1,(BK$6-Assumptions!$E$14)/Assumptions!$E$15))</f>
        <v>1</v>
      </c>
    </row>
    <row r="12" customFormat="false" ht="25" hidden="false" customHeight="true" outlineLevel="0" collapsed="false">
      <c r="A12" s="1"/>
      <c r="B12" s="1" t="s">
        <v>54</v>
      </c>
      <c r="C12" s="3" t="n">
        <f aca="false">0</f>
        <v>0</v>
      </c>
      <c r="D12" s="3" t="n">
        <f aca="false">0</f>
        <v>0</v>
      </c>
      <c r="E12" s="3" t="n">
        <f aca="false">0</f>
        <v>0</v>
      </c>
      <c r="F12" s="3" t="n">
        <f aca="false">0</f>
        <v>0</v>
      </c>
      <c r="G12" s="3" t="n">
        <f aca="false">0</f>
        <v>0</v>
      </c>
      <c r="H12" s="3" t="n">
        <f aca="false">0</f>
        <v>0</v>
      </c>
      <c r="I12" s="3" t="n">
        <f aca="false">0</f>
        <v>0</v>
      </c>
      <c r="J12" s="3" t="n">
        <f aca="false">0</f>
        <v>0</v>
      </c>
      <c r="K12" s="3" t="n">
        <f aca="false">0</f>
        <v>0</v>
      </c>
      <c r="L12" s="0" t="n">
        <f aca="false">0</f>
        <v>0</v>
      </c>
      <c r="M12" s="0" t="n">
        <f aca="false">0</f>
        <v>0</v>
      </c>
      <c r="N12" s="0" t="n">
        <f aca="false">0</f>
        <v>0</v>
      </c>
      <c r="O12" s="0" t="n">
        <f aca="false">0</f>
        <v>0</v>
      </c>
      <c r="P12" s="0" t="n">
        <f aca="false">0</f>
        <v>0</v>
      </c>
      <c r="Q12" s="0" t="n">
        <f aca="false">0</f>
        <v>0</v>
      </c>
      <c r="R12" s="0" t="n">
        <f aca="false">0</f>
        <v>0</v>
      </c>
      <c r="S12" s="0" t="n">
        <f aca="false">0</f>
        <v>0</v>
      </c>
      <c r="T12" s="0" t="n">
        <f aca="false">0</f>
        <v>0</v>
      </c>
      <c r="U12" s="0" t="n">
        <f aca="false">0</f>
        <v>0</v>
      </c>
      <c r="V12" s="0" t="n">
        <f aca="false">0</f>
        <v>0</v>
      </c>
      <c r="W12" s="0" t="n">
        <f aca="false">0</f>
        <v>0</v>
      </c>
      <c r="X12" s="0" t="n">
        <f aca="false">0</f>
        <v>0</v>
      </c>
      <c r="Y12" s="0" t="n">
        <f aca="false">0</f>
        <v>0</v>
      </c>
      <c r="Z12" s="0" t="n">
        <f aca="false">0</f>
        <v>0</v>
      </c>
      <c r="AA12" s="0" t="n">
        <f aca="false">0</f>
        <v>0</v>
      </c>
      <c r="AB12" s="0" t="n">
        <f aca="false">0</f>
        <v>0</v>
      </c>
      <c r="AC12" s="0" t="n">
        <f aca="false">0</f>
        <v>0</v>
      </c>
      <c r="AD12" s="0" t="n">
        <f aca="false">0</f>
        <v>0</v>
      </c>
      <c r="AE12" s="0" t="n">
        <f aca="false">0</f>
        <v>0</v>
      </c>
      <c r="AF12" s="0" t="n">
        <f aca="false">0</f>
        <v>0</v>
      </c>
      <c r="AG12" s="0" t="n">
        <f aca="false">0</f>
        <v>0</v>
      </c>
      <c r="AH12" s="0" t="n">
        <f aca="false">0</f>
        <v>0</v>
      </c>
      <c r="AI12" s="0" t="n">
        <f aca="false">0</f>
        <v>0</v>
      </c>
      <c r="AJ12" s="0" t="n">
        <f aca="false">0</f>
        <v>0</v>
      </c>
      <c r="AK12" s="0" t="n">
        <f aca="false">0</f>
        <v>0</v>
      </c>
      <c r="AL12" s="0" t="n">
        <f aca="false">0</f>
        <v>0</v>
      </c>
      <c r="AM12" s="0" t="n">
        <f aca="false">0</f>
        <v>0</v>
      </c>
      <c r="AN12" s="0" t="n">
        <f aca="false">0</f>
        <v>0</v>
      </c>
      <c r="AO12" s="0" t="n">
        <f aca="false">0</f>
        <v>0</v>
      </c>
      <c r="AP12" s="0" t="n">
        <f aca="false">0</f>
        <v>0</v>
      </c>
      <c r="AQ12" s="0" t="n">
        <f aca="false">0</f>
        <v>0</v>
      </c>
      <c r="AR12" s="0" t="n">
        <f aca="false">0</f>
        <v>0</v>
      </c>
      <c r="AS12" s="0" t="n">
        <f aca="false">0</f>
        <v>0</v>
      </c>
      <c r="AT12" s="0" t="n">
        <f aca="false">0</f>
        <v>0</v>
      </c>
      <c r="AU12" s="0" t="n">
        <f aca="false">0</f>
        <v>0</v>
      </c>
      <c r="AV12" s="0" t="n">
        <f aca="false">0</f>
        <v>0</v>
      </c>
      <c r="AW12" s="0" t="n">
        <f aca="false">0</f>
        <v>0</v>
      </c>
      <c r="AX12" s="0" t="n">
        <f aca="false">0</f>
        <v>0</v>
      </c>
      <c r="AY12" s="0" t="n">
        <f aca="false">0</f>
        <v>0</v>
      </c>
      <c r="AZ12" s="0" t="n">
        <f aca="false">0</f>
        <v>0</v>
      </c>
      <c r="BA12" s="0" t="n">
        <f aca="false">0</f>
        <v>0</v>
      </c>
      <c r="BB12" s="0" t="n">
        <f aca="false">0</f>
        <v>0</v>
      </c>
      <c r="BC12" s="0" t="n">
        <f aca="false">0</f>
        <v>0</v>
      </c>
      <c r="BD12" s="0" t="n">
        <f aca="false">0</f>
        <v>0</v>
      </c>
      <c r="BE12" s="0" t="n">
        <f aca="false">0</f>
        <v>0</v>
      </c>
      <c r="BF12" s="0" t="n">
        <f aca="false">0</f>
        <v>0</v>
      </c>
      <c r="BG12" s="0" t="n">
        <f aca="false">0</f>
        <v>0</v>
      </c>
      <c r="BH12" s="0" t="n">
        <f aca="false">0</f>
        <v>0</v>
      </c>
      <c r="BI12" s="0" t="n">
        <f aca="false">0</f>
        <v>0</v>
      </c>
      <c r="BJ12" s="0" t="n">
        <f aca="false">0</f>
        <v>0</v>
      </c>
      <c r="BK12" s="0" t="n">
        <f aca="false">0</f>
        <v>0</v>
      </c>
    </row>
    <row r="13" customFormat="false" ht="25" hidden="false" customHeight="true" outlineLevel="0" collapsed="false">
      <c r="A13" s="1"/>
      <c r="B13" s="1" t="s">
        <v>55</v>
      </c>
      <c r="C13" s="3" t="n">
        <f aca="false">0</f>
        <v>0</v>
      </c>
      <c r="D13" s="3" t="n">
        <f aca="false">Assumptions!$E$10*Assumptions!$E$16*365/12*Assumptions!$E$17*D11*(1+Assumptions!$E$18)^((D$6-1)/12)*IF(MOD(D$6-1,12)&lt;3,0.85,IF(MOD(D$6-1,12)&lt;9,1.075,1))</f>
        <v>417544.791666667</v>
      </c>
      <c r="E13" s="3" t="n">
        <f aca="false">Assumptions!$E$10*Assumptions!$E$16*365/12*Assumptions!$E$17*E11*(1+Assumptions!$E$18)^((E$6-1)/12)*IF(MOD(E$6-1,12)&lt;3,0.85,IF(MOD(E$6-1,12)&lt;9,1.075,1))</f>
        <v>418404.865572826</v>
      </c>
      <c r="F13" s="3" t="n">
        <f aca="false">Assumptions!$E$10*Assumptions!$E$16*365/12*Assumptions!$E$17*F11*(1+Assumptions!$E$18)^((F$6-1)/12)*IF(MOD(F$6-1,12)&lt;3,0.85,IF(MOD(F$6-1,12)&lt;9,1.075,1))</f>
        <v>419266.711090411</v>
      </c>
      <c r="G13" s="3" t="n">
        <f aca="false">Assumptions!$E$10*Assumptions!$E$16*365/12*Assumptions!$E$17*G11*(1+Assumptions!$E$18)^((G$6-1)/12)*IF(MOD(G$6-1,12)&lt;3,0.85,IF(MOD(G$6-1,12)&lt;9,1.075,1))</f>
        <v>531341.302069179</v>
      </c>
      <c r="H13" s="3" t="n">
        <f aca="false">Assumptions!$E$10*Assumptions!$E$16*365/12*Assumptions!$E$17*H11*(1+Assumptions!$E$18)^((H$6-1)/12)*IF(MOD(H$6-1,12)&lt;3,0.85,IF(MOD(H$6-1,12)&lt;9,1.075,1))</f>
        <v>532435.778154846</v>
      </c>
      <c r="I13" s="3" t="n">
        <f aca="false">Assumptions!$E$10*Assumptions!$E$16*365/12*Assumptions!$E$17*I11*(1+Assumptions!$E$18)^((I$6-1)/12)*IF(MOD(I$6-1,12)&lt;3,0.85,IF(MOD(I$6-1,12)&lt;9,1.075,1))</f>
        <v>533532.508682052</v>
      </c>
      <c r="J13" s="3" t="n">
        <f aca="false">Assumptions!$E$10*Assumptions!$E$16*365/12*Assumptions!$E$17*J11*(1+Assumptions!$E$18)^((J$6-1)/12)*IF(MOD(J$6-1,12)&lt;3,0.85,IF(MOD(J$6-1,12)&lt;9,1.075,1))</f>
        <v>44552.6248578813</v>
      </c>
      <c r="K13" s="3" t="n">
        <f aca="false">Assumptions!$E$10*Assumptions!$E$16*365/12*Assumptions!$E$17*K11*(1+Assumptions!$E$18)^((K$6-1)/12)*IF(MOD(K$6-1,12)&lt;3,0.85,IF(MOD(K$6-1,12)&lt;9,1.075,1))</f>
        <v>89288.7919409605</v>
      </c>
      <c r="L13" s="0" t="n">
        <f aca="false">Assumptions!$E$10*Assumptions!$E$16*365/12*Assumptions!$E$17*L11*(1+Assumptions!$E$18)^((L$6-1)/12)*IF(MOD(L$6-1,12)&lt;3,0.85,IF(MOD(L$6-1,12)&lt;9,1.075,1))</f>
        <v>134209.068349636</v>
      </c>
      <c r="M13" s="0" t="n">
        <f aca="false">Assumptions!$E$10*Assumptions!$E$16*365/12*Assumptions!$E$17*M11*(1+Assumptions!$E$18)^((M$6-1)/12)*IF(MOD(M$6-1,12)&lt;3,0.85,IF(MOD(M$6-1,12)&lt;9,1.075,1))</f>
        <v>166803.742085414</v>
      </c>
      <c r="N13" s="0" t="n">
        <f aca="false">Assumptions!$E$10*Assumptions!$E$16*365/12*Assumptions!$E$17*N11*(1+Assumptions!$E$18)^((N$6-1)/12)*IF(MOD(N$6-1,12)&lt;3,0.85,IF(MOD(N$6-1,12)&lt;9,1.075,1))</f>
        <v>208934.163104133</v>
      </c>
      <c r="O13" s="0" t="n">
        <f aca="false">Assumptions!$E$10*Assumptions!$E$16*365/12*Assumptions!$E$17*O11*(1+Assumptions!$E$18)^((O$6-1)/12)*IF(MOD(O$6-1,12)&lt;3,0.85,IF(MOD(O$6-1,12)&lt;9,1.075,1))</f>
        <v>251237.439925566</v>
      </c>
      <c r="P13" s="0" t="n">
        <f aca="false">Assumptions!$E$10*Assumptions!$E$16*365/12*Assumptions!$E$17*P11*(1+Assumptions!$E$18)^((P$6-1)/12)*IF(MOD(P$6-1,12)&lt;3,0.85,IF(MOD(P$6-1,12)&lt;9,1.075,1))</f>
        <v>249656.990017361</v>
      </c>
      <c r="Q13" s="0" t="n">
        <f aca="false">Assumptions!$E$10*Assumptions!$E$16*365/12*Assumptions!$E$17*Q11*(1+Assumptions!$E$18)^((Q$6-1)/12)*IF(MOD(Q$6-1,12)&lt;3,0.85,IF(MOD(Q$6-1,12)&lt;9,1.075,1))</f>
        <v>285909.991474764</v>
      </c>
      <c r="R13" s="0" t="n">
        <f aca="false">Assumptions!$E$10*Assumptions!$E$16*365/12*Assumptions!$E$17*R11*(1+Assumptions!$E$18)^((R$6-1)/12)*IF(MOD(R$6-1,12)&lt;3,0.85,IF(MOD(R$6-1,12)&lt;9,1.075,1))</f>
        <v>322311.284150754</v>
      </c>
      <c r="S13" s="0" t="n">
        <f aca="false">Assumptions!$E$10*Assumptions!$E$16*365/12*Assumptions!$E$17*S11*(1+Assumptions!$E$18)^((S$6-1)/12)*IF(MOD(S$6-1,12)&lt;3,0.85,IF(MOD(S$6-1,12)&lt;9,1.075,1))</f>
        <v>453854.028850757</v>
      </c>
      <c r="T13" s="0" t="n">
        <f aca="false">Assumptions!$E$10*Assumptions!$E$16*365/12*Assumptions!$E$17*T11*(1+Assumptions!$E$18)^((T$6-1)/12)*IF(MOD(T$6-1,12)&lt;3,0.85,IF(MOD(T$6-1,12)&lt;9,1.075,1))</f>
        <v>500267.783224658</v>
      </c>
      <c r="U13" s="0" t="n">
        <f aca="false">Assumptions!$E$10*Assumptions!$E$16*365/12*Assumptions!$E$17*U11*(1+Assumptions!$E$18)^((U$6-1)/12)*IF(MOD(U$6-1,12)&lt;3,0.85,IF(MOD(U$6-1,12)&lt;9,1.075,1))</f>
        <v>546870.821399103</v>
      </c>
      <c r="V13" s="0" t="n">
        <f aca="false">Assumptions!$E$10*Assumptions!$E$16*365/12*Assumptions!$E$17*V11*(1+Assumptions!$E$18)^((V$6-1)/12)*IF(MOD(V$6-1,12)&lt;3,0.85,IF(MOD(V$6-1,12)&lt;9,1.075,1))</f>
        <v>547997.28575194</v>
      </c>
      <c r="W13" s="0" t="n">
        <f aca="false">Assumptions!$E$10*Assumptions!$E$16*365/12*Assumptions!$E$17*W11*(1+Assumptions!$E$18)^((W$6-1)/12)*IF(MOD(W$6-1,12)&lt;3,0.85,IF(MOD(W$6-1,12)&lt;9,1.075,1))</f>
        <v>549126.070436907</v>
      </c>
      <c r="X13" s="0" t="n">
        <f aca="false">Assumptions!$E$10*Assumptions!$E$16*365/12*Assumptions!$E$17*X11*(1+Assumptions!$E$18)^((X$6-1)/12)*IF(MOD(X$6-1,12)&lt;3,0.85,IF(MOD(X$6-1,12)&lt;9,1.075,1))</f>
        <v>550257.180233509</v>
      </c>
      <c r="Y13" s="0" t="n">
        <f aca="false">Assumptions!$E$10*Assumptions!$E$16*365/12*Assumptions!$E$17*Y11*(1+Assumptions!$E$18)^((Y$6-1)/12)*IF(MOD(Y$6-1,12)&lt;3,0.85,IF(MOD(Y$6-1,12)&lt;9,1.075,1))</f>
        <v>512921.506912647</v>
      </c>
      <c r="Z13" s="0" t="n">
        <f aca="false">Assumptions!$E$10*Assumptions!$E$16*365/12*Assumptions!$E$17*Z11*(1+Assumptions!$E$18)^((Z$6-1)/12)*IF(MOD(Z$6-1,12)&lt;3,0.85,IF(MOD(Z$6-1,12)&lt;9,1.075,1))</f>
        <v>513978.041236168</v>
      </c>
      <c r="AA13" s="0" t="n">
        <f aca="false">Assumptions!$E$10*Assumptions!$E$16*365/12*Assumptions!$E$17*AA11*(1+Assumptions!$E$18)^((AA$6-1)/12)*IF(MOD(AA$6-1,12)&lt;3,0.85,IF(MOD(AA$6-1,12)&lt;9,1.075,1))</f>
        <v>515036.751847409</v>
      </c>
      <c r="AB13" s="0" t="n">
        <f aca="false">Assumptions!$E$10*Assumptions!$E$16*365/12*Assumptions!$E$17*AB11*(1+Assumptions!$E$18)^((AB$6-1)/12)*IF(MOD(AB$6-1,12)&lt;3,0.85,IF(MOD(AB$6-1,12)&lt;9,1.075,1))</f>
        <v>438682.996744792</v>
      </c>
      <c r="AC13" s="0" t="n">
        <f aca="false">Assumptions!$E$10*Assumptions!$E$16*365/12*Assumptions!$E$17*AC11*(1+Assumptions!$E$18)^((AC$6-1)/12)*IF(MOD(AC$6-1,12)&lt;3,0.85,IF(MOD(AC$6-1,12)&lt;9,1.075,1))</f>
        <v>439586.61189245</v>
      </c>
      <c r="AD13" s="0" t="n">
        <f aca="false">Assumptions!$E$10*Assumptions!$E$16*365/12*Assumptions!$E$17*AD11*(1+Assumptions!$E$18)^((AD$6-1)/12)*IF(MOD(AD$6-1,12)&lt;3,0.85,IF(MOD(AD$6-1,12)&lt;9,1.075,1))</f>
        <v>440492.088339363</v>
      </c>
      <c r="AE13" s="0" t="n">
        <f aca="false">Assumptions!$E$10*Assumptions!$E$16*365/12*Assumptions!$E$17*AE11*(1+Assumptions!$E$18)^((AE$6-1)/12)*IF(MOD(AE$6-1,12)&lt;3,0.85,IF(MOD(AE$6-1,12)&lt;9,1.075,1))</f>
        <v>558240.455486431</v>
      </c>
      <c r="AF13" s="0" t="n">
        <f aca="false">Assumptions!$E$10*Assumptions!$E$16*365/12*Assumptions!$E$17*AF11*(1+Assumptions!$E$18)^((AF$6-1)/12)*IF(MOD(AF$6-1,12)&lt;3,0.85,IF(MOD(AF$6-1,12)&lt;9,1.075,1))</f>
        <v>559390.339423935</v>
      </c>
      <c r="AG13" s="0" t="n">
        <f aca="false">Assumptions!$E$10*Assumptions!$E$16*365/12*Assumptions!$E$17*AG11*(1+Assumptions!$E$18)^((AG$6-1)/12)*IF(MOD(AG$6-1,12)&lt;3,0.85,IF(MOD(AG$6-1,12)&lt;9,1.075,1))</f>
        <v>560542.591934081</v>
      </c>
      <c r="AH13" s="0" t="n">
        <f aca="false">Assumptions!$E$10*Assumptions!$E$16*365/12*Assumptions!$E$17*AH11*(1+Assumptions!$E$18)^((AH$6-1)/12)*IF(MOD(AH$6-1,12)&lt;3,0.85,IF(MOD(AH$6-1,12)&lt;9,1.075,1))</f>
        <v>561697.217895738</v>
      </c>
      <c r="AI13" s="0" t="n">
        <f aca="false">Assumptions!$E$10*Assumptions!$E$16*365/12*Assumptions!$E$17*AI11*(1+Assumptions!$E$18)^((AI$6-1)/12)*IF(MOD(AI$6-1,12)&lt;3,0.85,IF(MOD(AI$6-1,12)&lt;9,1.075,1))</f>
        <v>562854.22219783</v>
      </c>
      <c r="AJ13" s="0" t="n">
        <f aca="false">Assumptions!$E$10*Assumptions!$E$16*365/12*Assumptions!$E$17*AJ11*(1+Assumptions!$E$18)^((AJ$6-1)/12)*IF(MOD(AJ$6-1,12)&lt;3,0.85,IF(MOD(AJ$6-1,12)&lt;9,1.075,1))</f>
        <v>564013.609739347</v>
      </c>
      <c r="AK13" s="0" t="n">
        <f aca="false">Assumptions!$E$10*Assumptions!$E$16*365/12*Assumptions!$E$17*AK11*(1+Assumptions!$E$18)^((AK$6-1)/12)*IF(MOD(AK$6-1,12)&lt;3,0.85,IF(MOD(AK$6-1,12)&lt;9,1.075,1))</f>
        <v>525744.544585463</v>
      </c>
      <c r="AL13" s="0" t="n">
        <f aca="false">Assumptions!$E$10*Assumptions!$E$16*365/12*Assumptions!$E$17*AL11*(1+Assumptions!$E$18)^((AL$6-1)/12)*IF(MOD(AL$6-1,12)&lt;3,0.85,IF(MOD(AL$6-1,12)&lt;9,1.075,1))</f>
        <v>526827.492267072</v>
      </c>
      <c r="AM13" s="0" t="n">
        <f aca="false">Assumptions!$E$10*Assumptions!$E$16*365/12*Assumptions!$E$17*AM11*(1+Assumptions!$E$18)^((AM$6-1)/12)*IF(MOD(AM$6-1,12)&lt;3,0.85,IF(MOD(AM$6-1,12)&lt;9,1.075,1))</f>
        <v>527912.670643594</v>
      </c>
      <c r="AN13" s="0" t="n">
        <f aca="false">Assumptions!$E$10*Assumptions!$E$16*365/12*Assumptions!$E$17*AN11*(1+Assumptions!$E$18)^((AN$6-1)/12)*IF(MOD(AN$6-1,12)&lt;3,0.85,IF(MOD(AN$6-1,12)&lt;9,1.075,1))</f>
        <v>449650.071663411</v>
      </c>
      <c r="AO13" s="0" t="n">
        <f aca="false">Assumptions!$E$10*Assumptions!$E$16*365/12*Assumptions!$E$17*AO11*(1+Assumptions!$E$18)^((AO$6-1)/12)*IF(MOD(AO$6-1,12)&lt;3,0.85,IF(MOD(AO$6-1,12)&lt;9,1.075,1))</f>
        <v>450576.277189761</v>
      </c>
      <c r="AP13" s="0" t="n">
        <f aca="false">Assumptions!$E$10*Assumptions!$E$16*365/12*Assumptions!$E$17*AP11*(1+Assumptions!$E$18)^((AP$6-1)/12)*IF(MOD(AP$6-1,12)&lt;3,0.85,IF(MOD(AP$6-1,12)&lt;9,1.075,1))</f>
        <v>451504.390547847</v>
      </c>
      <c r="AQ13" s="0" t="n">
        <f aca="false">Assumptions!$E$10*Assumptions!$E$16*365/12*Assumptions!$E$17*AQ11*(1+Assumptions!$E$18)^((AQ$6-1)/12)*IF(MOD(AQ$6-1,12)&lt;3,0.85,IF(MOD(AQ$6-1,12)&lt;9,1.075,1))</f>
        <v>572196.466873592</v>
      </c>
      <c r="AR13" s="0" t="n">
        <f aca="false">Assumptions!$E$10*Assumptions!$E$16*365/12*Assumptions!$E$17*AR11*(1+Assumptions!$E$18)^((AR$6-1)/12)*IF(MOD(AR$6-1,12)&lt;3,0.85,IF(MOD(AR$6-1,12)&lt;9,1.075,1))</f>
        <v>573375.097909534</v>
      </c>
      <c r="AS13" s="0" t="n">
        <f aca="false">Assumptions!$E$10*Assumptions!$E$16*365/12*Assumptions!$E$17*AS11*(1+Assumptions!$E$18)^((AS$6-1)/12)*IF(MOD(AS$6-1,12)&lt;3,0.85,IF(MOD(AS$6-1,12)&lt;9,1.075,1))</f>
        <v>574556.156732433</v>
      </c>
      <c r="AT13" s="0" t="n">
        <f aca="false">Assumptions!$E$10*Assumptions!$E$16*365/12*Assumptions!$E$17*AT11*(1+Assumptions!$E$18)^((AT$6-1)/12)*IF(MOD(AT$6-1,12)&lt;3,0.85,IF(MOD(AT$6-1,12)&lt;9,1.075,1))</f>
        <v>575739.648343131</v>
      </c>
      <c r="AU13" s="0" t="n">
        <f aca="false">Assumptions!$E$10*Assumptions!$E$16*365/12*Assumptions!$E$17*AU11*(1+Assumptions!$E$18)^((AU$6-1)/12)*IF(MOD(AU$6-1,12)&lt;3,0.85,IF(MOD(AU$6-1,12)&lt;9,1.075,1))</f>
        <v>576925.577752775</v>
      </c>
      <c r="AV13" s="0" t="n">
        <f aca="false">Assumptions!$E$10*Assumptions!$E$16*365/12*Assumptions!$E$17*AV11*(1+Assumptions!$E$18)^((AV$6-1)/12)*IF(MOD(AV$6-1,12)&lt;3,0.85,IF(MOD(AV$6-1,12)&lt;9,1.075,1))</f>
        <v>578113.94998283</v>
      </c>
      <c r="AW13" s="0" t="n">
        <f aca="false">Assumptions!$E$10*Assumptions!$E$16*365/12*Assumptions!$E$17*AW11*(1+Assumptions!$E$18)^((AW$6-1)/12)*IF(MOD(AW$6-1,12)&lt;3,0.85,IF(MOD(AW$6-1,12)&lt;9,1.075,1))</f>
        <v>538888.1582001</v>
      </c>
      <c r="AX13" s="0" t="n">
        <f aca="false">Assumptions!$E$10*Assumptions!$E$16*365/12*Assumptions!$E$17*AX11*(1+Assumptions!$E$18)^((AX$6-1)/12)*IF(MOD(AX$6-1,12)&lt;3,0.85,IF(MOD(AX$6-1,12)&lt;9,1.075,1))</f>
        <v>539998.179573749</v>
      </c>
      <c r="AY13" s="0" t="n">
        <f aca="false">Assumptions!$E$10*Assumptions!$E$16*365/12*Assumptions!$E$17*AY11*(1+Assumptions!$E$18)^((AY$6-1)/12)*IF(MOD(AY$6-1,12)&lt;3,0.85,IF(MOD(AY$6-1,12)&lt;9,1.075,1))</f>
        <v>541110.487409684</v>
      </c>
      <c r="AZ13" s="0" t="n">
        <f aca="false">Assumptions!$E$10*Assumptions!$E$16*365/12*Assumptions!$E$17*AZ11*(1+Assumptions!$E$18)^((AZ$6-1)/12)*IF(MOD(AZ$6-1,12)&lt;3,0.85,IF(MOD(AZ$6-1,12)&lt;9,1.075,1))</f>
        <v>460891.323454997</v>
      </c>
      <c r="BA13" s="0" t="n">
        <f aca="false">Assumptions!$E$10*Assumptions!$E$16*365/12*Assumptions!$E$17*BA11*(1+Assumptions!$E$18)^((BA$6-1)/12)*IF(MOD(BA$6-1,12)&lt;3,0.85,IF(MOD(BA$6-1,12)&lt;9,1.075,1))</f>
        <v>461840.684119505</v>
      </c>
      <c r="BB13" s="0" t="n">
        <f aca="false">Assumptions!$E$10*Assumptions!$E$16*365/12*Assumptions!$E$17*BB11*(1+Assumptions!$E$18)^((BB$6-1)/12)*IF(MOD(BB$6-1,12)&lt;3,0.85,IF(MOD(BB$6-1,12)&lt;9,1.075,1))</f>
        <v>462792.000311543</v>
      </c>
      <c r="BC13" s="0" t="n">
        <f aca="false">Assumptions!$E$10*Assumptions!$E$16*365/12*Assumptions!$E$17*BC11*(1+Assumptions!$E$18)^((BC$6-1)/12)*IF(MOD(BC$6-1,12)&lt;3,0.85,IF(MOD(BC$6-1,12)&lt;9,1.075,1))</f>
        <v>586501.378545431</v>
      </c>
      <c r="BD13" s="0" t="n">
        <f aca="false">Assumptions!$E$10*Assumptions!$E$16*365/12*Assumptions!$E$17*BD11*(1+Assumptions!$E$18)^((BD$6-1)/12)*IF(MOD(BD$6-1,12)&lt;3,0.85,IF(MOD(BD$6-1,12)&lt;9,1.075,1))</f>
        <v>587709.475357272</v>
      </c>
      <c r="BE13" s="0" t="n">
        <f aca="false">Assumptions!$E$10*Assumptions!$E$16*365/12*Assumptions!$E$17*BE11*(1+Assumptions!$E$18)^((BE$6-1)/12)*IF(MOD(BE$6-1,12)&lt;3,0.85,IF(MOD(BE$6-1,12)&lt;9,1.075,1))</f>
        <v>588920.060650743</v>
      </c>
      <c r="BF13" s="0" t="n">
        <f aca="false">Assumptions!$E$10*Assumptions!$E$16*365/12*Assumptions!$E$17*BF11*(1+Assumptions!$E$18)^((BF$6-1)/12)*IF(MOD(BF$6-1,12)&lt;3,0.85,IF(MOD(BF$6-1,12)&lt;9,1.075,1))</f>
        <v>590133.13955171</v>
      </c>
      <c r="BG13" s="0" t="n">
        <f aca="false">Assumptions!$E$10*Assumptions!$E$16*365/12*Assumptions!$E$17*BG11*(1+Assumptions!$E$18)^((BG$6-1)/12)*IF(MOD(BG$6-1,12)&lt;3,0.85,IF(MOD(BG$6-1,12)&lt;9,1.075,1))</f>
        <v>591348.717196595</v>
      </c>
      <c r="BH13" s="0" t="n">
        <f aca="false">Assumptions!$E$10*Assumptions!$E$16*365/12*Assumptions!$E$17*BH11*(1+Assumptions!$E$18)^((BH$6-1)/12)*IF(MOD(BH$6-1,12)&lt;3,0.85,IF(MOD(BH$6-1,12)&lt;9,1.075,1))</f>
        <v>592566.798732401</v>
      </c>
      <c r="BI13" s="0" t="n">
        <f aca="false">Assumptions!$E$10*Assumptions!$E$16*365/12*Assumptions!$E$17*BI11*(1+Assumptions!$E$18)^((BI$6-1)/12)*IF(MOD(BI$6-1,12)&lt;3,0.85,IF(MOD(BI$6-1,12)&lt;9,1.075,1))</f>
        <v>552360.362155102</v>
      </c>
      <c r="BJ13" s="0" t="n">
        <f aca="false">Assumptions!$E$10*Assumptions!$E$16*365/12*Assumptions!$E$17*BJ11*(1+Assumptions!$E$18)^((BJ$6-1)/12)*IF(MOD(BJ$6-1,12)&lt;3,0.85,IF(MOD(BJ$6-1,12)&lt;9,1.075,1))</f>
        <v>553498.134063093</v>
      </c>
      <c r="BK13" s="0" t="n">
        <f aca="false">Assumptions!$E$10*Assumptions!$E$16*365/12*Assumptions!$E$17*BK11*(1+Assumptions!$E$18)^((BK$6-1)/12)*IF(MOD(BK$6-1,12)&lt;3,0.85,IF(MOD(BK$6-1,12)&lt;9,1.075,1))</f>
        <v>554638.249594926</v>
      </c>
    </row>
    <row r="14" customFormat="false" ht="25" hidden="false" customHeight="true" outlineLevel="0" collapsed="false">
      <c r="A14" s="1"/>
      <c r="B14" s="1" t="s">
        <v>56</v>
      </c>
      <c r="C14" s="3" t="n">
        <f aca="false">C13*Assumptions!$E$20</f>
        <v>0</v>
      </c>
      <c r="D14" s="3" t="n">
        <f aca="false">D13*Assumptions!$E$20</f>
        <v>104386.197916667</v>
      </c>
      <c r="E14" s="3" t="n">
        <f aca="false">E13*Assumptions!$E$20</f>
        <v>104601.216393206</v>
      </c>
      <c r="F14" s="3" t="n">
        <f aca="false">F13*Assumptions!$E$20</f>
        <v>104816.677772603</v>
      </c>
      <c r="G14" s="3" t="n">
        <f aca="false">G13*Assumptions!$E$20</f>
        <v>132835.325517295</v>
      </c>
      <c r="H14" s="3" t="n">
        <f aca="false">H13*Assumptions!$E$20</f>
        <v>133108.944538712</v>
      </c>
      <c r="I14" s="3" t="n">
        <f aca="false">I13*Assumptions!$E$20</f>
        <v>133383.127170513</v>
      </c>
      <c r="J14" s="3" t="n">
        <f aca="false">J13*Assumptions!$E$20</f>
        <v>11138.1562144703</v>
      </c>
      <c r="K14" s="3" t="n">
        <f aca="false">K13*Assumptions!$E$20</f>
        <v>22322.1979852401</v>
      </c>
      <c r="L14" s="0" t="n">
        <f aca="false">L13*Assumptions!$E$20</f>
        <v>33552.2670874091</v>
      </c>
      <c r="M14" s="0" t="n">
        <f aca="false">M13*Assumptions!$E$20</f>
        <v>41700.9355213534</v>
      </c>
      <c r="N14" s="0" t="n">
        <f aca="false">N13*Assumptions!$E$20</f>
        <v>52233.5407760334</v>
      </c>
      <c r="O14" s="0" t="n">
        <f aca="false">O13*Assumptions!$E$20</f>
        <v>62809.3599813914</v>
      </c>
      <c r="P14" s="0" t="n">
        <f aca="false">P13*Assumptions!$E$20</f>
        <v>62414.2475043403</v>
      </c>
      <c r="Q14" s="0" t="n">
        <f aca="false">Q13*Assumptions!$E$20</f>
        <v>71477.497868691</v>
      </c>
      <c r="R14" s="0" t="n">
        <f aca="false">R13*Assumptions!$E$20</f>
        <v>80577.8210376884</v>
      </c>
      <c r="S14" s="0" t="n">
        <f aca="false">S13*Assumptions!$E$20</f>
        <v>113463.507212689</v>
      </c>
      <c r="T14" s="0" t="n">
        <f aca="false">T13*Assumptions!$E$20</f>
        <v>125066.945806164</v>
      </c>
      <c r="U14" s="0" t="n">
        <f aca="false">U13*Assumptions!$E$20</f>
        <v>136717.705349776</v>
      </c>
      <c r="V14" s="0" t="n">
        <f aca="false">V13*Assumptions!$E$20</f>
        <v>136999.321437985</v>
      </c>
      <c r="W14" s="0" t="n">
        <f aca="false">W13*Assumptions!$E$20</f>
        <v>137281.517609227</v>
      </c>
      <c r="X14" s="0" t="n">
        <f aca="false">X13*Assumptions!$E$20</f>
        <v>137564.295058377</v>
      </c>
      <c r="Y14" s="0" t="n">
        <f aca="false">Y13*Assumptions!$E$20</f>
        <v>128230.376728162</v>
      </c>
      <c r="Z14" s="0" t="n">
        <f aca="false">Z13*Assumptions!$E$20</f>
        <v>128494.510309042</v>
      </c>
      <c r="AA14" s="0" t="n">
        <f aca="false">AA13*Assumptions!$E$20</f>
        <v>128759.187961852</v>
      </c>
      <c r="AB14" s="0" t="n">
        <f aca="false">AB13*Assumptions!$E$20</f>
        <v>109670.749186198</v>
      </c>
      <c r="AC14" s="0" t="n">
        <f aca="false">AC13*Assumptions!$E$20</f>
        <v>109896.652973112</v>
      </c>
      <c r="AD14" s="0" t="n">
        <f aca="false">AD13*Assumptions!$E$20</f>
        <v>110123.022084841</v>
      </c>
      <c r="AE14" s="0" t="n">
        <f aca="false">AE13*Assumptions!$E$20</f>
        <v>139560.113871608</v>
      </c>
      <c r="AF14" s="0" t="n">
        <f aca="false">AF13*Assumptions!$E$20</f>
        <v>139847.584855984</v>
      </c>
      <c r="AG14" s="0" t="n">
        <f aca="false">AG13*Assumptions!$E$20</f>
        <v>140135.64798352</v>
      </c>
      <c r="AH14" s="0" t="n">
        <f aca="false">AH13*Assumptions!$E$20</f>
        <v>140424.304473935</v>
      </c>
      <c r="AI14" s="0" t="n">
        <f aca="false">AI13*Assumptions!$E$20</f>
        <v>140713.555549457</v>
      </c>
      <c r="AJ14" s="0" t="n">
        <f aca="false">AJ13*Assumptions!$E$20</f>
        <v>141003.402434837</v>
      </c>
      <c r="AK14" s="0" t="n">
        <f aca="false">AK13*Assumptions!$E$20</f>
        <v>131436.136146366</v>
      </c>
      <c r="AL14" s="0" t="n">
        <f aca="false">AL13*Assumptions!$E$20</f>
        <v>131706.873066768</v>
      </c>
      <c r="AM14" s="0" t="n">
        <f aca="false">AM13*Assumptions!$E$20</f>
        <v>131978.167660899</v>
      </c>
      <c r="AN14" s="0" t="n">
        <f aca="false">AN13*Assumptions!$E$20</f>
        <v>112412.517915853</v>
      </c>
      <c r="AO14" s="0" t="n">
        <f aca="false">AO13*Assumptions!$E$20</f>
        <v>112644.06929744</v>
      </c>
      <c r="AP14" s="0" t="n">
        <f aca="false">AP13*Assumptions!$E$20</f>
        <v>112876.097636962</v>
      </c>
      <c r="AQ14" s="0" t="n">
        <f aca="false">AQ13*Assumptions!$E$20</f>
        <v>143049.116718398</v>
      </c>
      <c r="AR14" s="0" t="n">
        <f aca="false">AR13*Assumptions!$E$20</f>
        <v>143343.774477383</v>
      </c>
      <c r="AS14" s="0" t="n">
        <f aca="false">AS13*Assumptions!$E$20</f>
        <v>143639.039183108</v>
      </c>
      <c r="AT14" s="0" t="n">
        <f aca="false">AT13*Assumptions!$E$20</f>
        <v>143934.912085783</v>
      </c>
      <c r="AU14" s="0" t="n">
        <f aca="false">AU13*Assumptions!$E$20</f>
        <v>144231.394438194</v>
      </c>
      <c r="AV14" s="0" t="n">
        <f aca="false">AV13*Assumptions!$E$20</f>
        <v>144528.487495708</v>
      </c>
      <c r="AW14" s="0" t="n">
        <f aca="false">AW13*Assumptions!$E$20</f>
        <v>134722.039550025</v>
      </c>
      <c r="AX14" s="0" t="n">
        <f aca="false">AX13*Assumptions!$E$20</f>
        <v>134999.544893437</v>
      </c>
      <c r="AY14" s="0" t="n">
        <f aca="false">AY13*Assumptions!$E$20</f>
        <v>135277.621852421</v>
      </c>
      <c r="AZ14" s="0" t="n">
        <f aca="false">AZ13*Assumptions!$E$20</f>
        <v>115222.830863749</v>
      </c>
      <c r="BA14" s="0" t="n">
        <f aca="false">BA13*Assumptions!$E$20</f>
        <v>115460.171029876</v>
      </c>
      <c r="BB14" s="0" t="n">
        <f aca="false">BB13*Assumptions!$E$20</f>
        <v>115698.000077886</v>
      </c>
      <c r="BC14" s="0" t="n">
        <f aca="false">BC13*Assumptions!$E$20</f>
        <v>146625.344636358</v>
      </c>
      <c r="BD14" s="0" t="n">
        <f aca="false">BD13*Assumptions!$E$20</f>
        <v>146927.368839318</v>
      </c>
      <c r="BE14" s="0" t="n">
        <f aca="false">BE13*Assumptions!$E$20</f>
        <v>147230.015162686</v>
      </c>
      <c r="BF14" s="0" t="n">
        <f aca="false">BF13*Assumptions!$E$20</f>
        <v>147533.284887927</v>
      </c>
      <c r="BG14" s="0" t="n">
        <f aca="false">BG13*Assumptions!$E$20</f>
        <v>147837.179299149</v>
      </c>
      <c r="BH14" s="0" t="n">
        <f aca="false">BH13*Assumptions!$E$20</f>
        <v>148141.6996831</v>
      </c>
      <c r="BI14" s="0" t="n">
        <f aca="false">BI13*Assumptions!$E$20</f>
        <v>138090.090538776</v>
      </c>
      <c r="BJ14" s="0" t="n">
        <f aca="false">BJ13*Assumptions!$E$20</f>
        <v>138374.533515773</v>
      </c>
      <c r="BK14" s="0" t="n">
        <f aca="false">BK13*Assumptions!$E$20</f>
        <v>138659.562398732</v>
      </c>
    </row>
    <row r="15" customFormat="false" ht="25" hidden="false" customHeight="true" outlineLevel="0" collapsed="false">
      <c r="A15" s="1"/>
      <c r="B15" s="1" t="s">
        <v>57</v>
      </c>
      <c r="C15" s="3" t="n">
        <f aca="false">SUM(C13:C14)*Assumptions!$E$19</f>
        <v>0</v>
      </c>
      <c r="D15" s="3" t="n">
        <f aca="false">SUM(D13:D14)*Assumptions!$E$19</f>
        <v>302719.973958333</v>
      </c>
      <c r="E15" s="3" t="n">
        <f aca="false">SUM(E13:E14)*Assumptions!$E$19</f>
        <v>303343.527540298</v>
      </c>
      <c r="F15" s="3" t="n">
        <f aca="false">SUM(F13:F14)*Assumptions!$E$19</f>
        <v>303968.365540548</v>
      </c>
      <c r="G15" s="3" t="n">
        <f aca="false">SUM(G13:G14)*Assumptions!$E$19</f>
        <v>385222.444000155</v>
      </c>
      <c r="H15" s="3" t="n">
        <f aca="false">SUM(H13:H14)*Assumptions!$E$19</f>
        <v>386015.939162264</v>
      </c>
      <c r="I15" s="3" t="n">
        <f aca="false">SUM(I13:I14)*Assumptions!$E$19</f>
        <v>386811.068794488</v>
      </c>
      <c r="J15" s="3" t="n">
        <f aca="false">SUM(J13:J14)*Assumptions!$E$19</f>
        <v>32300.6530219639</v>
      </c>
      <c r="K15" s="3" t="n">
        <f aca="false">SUM(K13:K14)*Assumptions!$E$19</f>
        <v>64734.3741571963</v>
      </c>
      <c r="L15" s="0" t="n">
        <f aca="false">SUM(L13:L14)*Assumptions!$E$19</f>
        <v>97301.5745534864</v>
      </c>
      <c r="M15" s="0" t="n">
        <f aca="false">SUM(M13:M14)*Assumptions!$E$19</f>
        <v>120932.713011925</v>
      </c>
      <c r="N15" s="0" t="n">
        <f aca="false">SUM(N13:N14)*Assumptions!$E$19</f>
        <v>151477.268250497</v>
      </c>
      <c r="O15" s="0" t="n">
        <f aca="false">SUM(O13:O14)*Assumptions!$E$19</f>
        <v>182147.143946035</v>
      </c>
      <c r="P15" s="0" t="n">
        <f aca="false">SUM(P13:P14)*Assumptions!$E$19</f>
        <v>181001.317762587</v>
      </c>
      <c r="Q15" s="0" t="n">
        <f aca="false">SUM(Q13:Q14)*Assumptions!$E$19</f>
        <v>207284.743819204</v>
      </c>
      <c r="R15" s="0" t="n">
        <f aca="false">SUM(R13:R14)*Assumptions!$E$19</f>
        <v>233675.681009296</v>
      </c>
      <c r="S15" s="0" t="n">
        <f aca="false">SUM(S13:S14)*Assumptions!$E$19</f>
        <v>329044.170916799</v>
      </c>
      <c r="T15" s="0" t="n">
        <f aca="false">SUM(T13:T14)*Assumptions!$E$19</f>
        <v>362694.142837877</v>
      </c>
      <c r="U15" s="0" t="n">
        <f aca="false">SUM(U13:U14)*Assumptions!$E$19</f>
        <v>396481.34551435</v>
      </c>
      <c r="V15" s="0" t="n">
        <f aca="false">SUM(V13:V14)*Assumptions!$E$19</f>
        <v>397298.032170156</v>
      </c>
      <c r="W15" s="0" t="n">
        <f aca="false">SUM(W13:W14)*Assumptions!$E$19</f>
        <v>398116.401066758</v>
      </c>
      <c r="X15" s="0" t="n">
        <f aca="false">SUM(X13:X14)*Assumptions!$E$19</f>
        <v>398936.455669294</v>
      </c>
      <c r="Y15" s="0" t="n">
        <f aca="false">SUM(Y13:Y14)*Assumptions!$E$19</f>
        <v>371868.092511669</v>
      </c>
      <c r="Z15" s="0" t="n">
        <f aca="false">SUM(Z13:Z14)*Assumptions!$E$19</f>
        <v>372634.079896222</v>
      </c>
      <c r="AA15" s="0" t="n">
        <f aca="false">SUM(AA13:AA14)*Assumptions!$E$19</f>
        <v>373401.645089372</v>
      </c>
      <c r="AB15" s="0" t="n">
        <f aca="false">SUM(AB13:AB14)*Assumptions!$E$19</f>
        <v>318045.172639974</v>
      </c>
      <c r="AC15" s="0" t="n">
        <f aca="false">SUM(AC13:AC14)*Assumptions!$E$19</f>
        <v>318700.293622026</v>
      </c>
      <c r="AD15" s="0" t="n">
        <f aca="false">SUM(AD13:AD14)*Assumptions!$E$19</f>
        <v>319356.764046038</v>
      </c>
      <c r="AE15" s="0" t="n">
        <f aca="false">SUM(AE13:AE14)*Assumptions!$E$19</f>
        <v>404724.330227662</v>
      </c>
      <c r="AF15" s="0" t="n">
        <f aca="false">SUM(AF13:AF14)*Assumptions!$E$19</f>
        <v>405557.996082353</v>
      </c>
      <c r="AG15" s="0" t="n">
        <f aca="false">SUM(AG13:AG14)*Assumptions!$E$19</f>
        <v>406393.379152208</v>
      </c>
      <c r="AH15" s="0" t="n">
        <f aca="false">SUM(AH13:AH14)*Assumptions!$E$19</f>
        <v>407230.48297441</v>
      </c>
      <c r="AI15" s="0" t="n">
        <f aca="false">SUM(AI13:AI14)*Assumptions!$E$19</f>
        <v>408069.311093426</v>
      </c>
      <c r="AJ15" s="0" t="n">
        <f aca="false">SUM(AJ13:AJ14)*Assumptions!$E$19</f>
        <v>408909.867061026</v>
      </c>
      <c r="AK15" s="0" t="n">
        <f aca="false">SUM(AK13:AK14)*Assumptions!$E$19</f>
        <v>381164.794824461</v>
      </c>
      <c r="AL15" s="0" t="n">
        <f aca="false">SUM(AL13:AL14)*Assumptions!$E$19</f>
        <v>381949.931893627</v>
      </c>
      <c r="AM15" s="0" t="n">
        <f aca="false">SUM(AM13:AM14)*Assumptions!$E$19</f>
        <v>382736.686216606</v>
      </c>
      <c r="AN15" s="0" t="n">
        <f aca="false">SUM(AN13:AN14)*Assumptions!$E$19</f>
        <v>325996.301955973</v>
      </c>
      <c r="AO15" s="0" t="n">
        <f aca="false">SUM(AO13:AO14)*Assumptions!$E$19</f>
        <v>326667.800962577</v>
      </c>
      <c r="AP15" s="0" t="n">
        <f aca="false">SUM(AP13:AP14)*Assumptions!$E$19</f>
        <v>327340.683147189</v>
      </c>
      <c r="AQ15" s="0" t="n">
        <f aca="false">SUM(AQ13:AQ14)*Assumptions!$E$19</f>
        <v>414842.438483354</v>
      </c>
      <c r="AR15" s="0" t="n">
        <f aca="false">SUM(AR13:AR14)*Assumptions!$E$19</f>
        <v>415696.945984412</v>
      </c>
      <c r="AS15" s="0" t="n">
        <f aca="false">SUM(AS13:AS14)*Assumptions!$E$19</f>
        <v>416553.213631014</v>
      </c>
      <c r="AT15" s="0" t="n">
        <f aca="false">SUM(AT13:AT14)*Assumptions!$E$19</f>
        <v>417411.24504877</v>
      </c>
      <c r="AU15" s="0" t="n">
        <f aca="false">SUM(AU13:AU14)*Assumptions!$E$19</f>
        <v>418271.043870762</v>
      </c>
      <c r="AV15" s="0" t="n">
        <f aca="false">SUM(AV13:AV14)*Assumptions!$E$19</f>
        <v>419132.613737552</v>
      </c>
      <c r="AW15" s="0" t="n">
        <f aca="false">SUM(AW13:AW14)*Assumptions!$E$19</f>
        <v>390693.914695072</v>
      </c>
      <c r="AX15" s="0" t="n">
        <f aca="false">SUM(AX13:AX14)*Assumptions!$E$19</f>
        <v>391498.680190968</v>
      </c>
      <c r="AY15" s="0" t="n">
        <f aca="false">SUM(AY13:AY14)*Assumptions!$E$19</f>
        <v>392305.103372021</v>
      </c>
      <c r="AZ15" s="0" t="n">
        <f aca="false">SUM(AZ13:AZ14)*Assumptions!$E$19</f>
        <v>334146.209504872</v>
      </c>
      <c r="BA15" s="0" t="n">
        <f aca="false">SUM(BA13:BA14)*Assumptions!$E$19</f>
        <v>334834.495986641</v>
      </c>
      <c r="BB15" s="0" t="n">
        <f aca="false">SUM(BB13:BB14)*Assumptions!$E$19</f>
        <v>335524.200225869</v>
      </c>
      <c r="BC15" s="0" t="n">
        <f aca="false">SUM(BC13:BC14)*Assumptions!$E$19</f>
        <v>425213.499445438</v>
      </c>
      <c r="BD15" s="0" t="n">
        <f aca="false">SUM(BD13:BD14)*Assumptions!$E$19</f>
        <v>426089.369634022</v>
      </c>
      <c r="BE15" s="0" t="n">
        <f aca="false">SUM(BE13:BE14)*Assumptions!$E$19</f>
        <v>426967.043971789</v>
      </c>
      <c r="BF15" s="0" t="n">
        <f aca="false">SUM(BF13:BF14)*Assumptions!$E$19</f>
        <v>427846.526174989</v>
      </c>
      <c r="BG15" s="0" t="n">
        <f aca="false">SUM(BG13:BG14)*Assumptions!$E$19</f>
        <v>428727.819967531</v>
      </c>
      <c r="BH15" s="0" t="n">
        <f aca="false">SUM(BH13:BH14)*Assumptions!$E$19</f>
        <v>429610.929080991</v>
      </c>
      <c r="BI15" s="0" t="n">
        <f aca="false">SUM(BI13:BI14)*Assumptions!$E$19</f>
        <v>400461.262562449</v>
      </c>
      <c r="BJ15" s="0" t="n">
        <f aca="false">SUM(BJ13:BJ14)*Assumptions!$E$19</f>
        <v>401286.147195742</v>
      </c>
      <c r="BK15" s="0" t="n">
        <f aca="false">SUM(BK13:BK14)*Assumptions!$E$19</f>
        <v>402112.730956322</v>
      </c>
    </row>
    <row r="16" customFormat="false" ht="25" hidden="false" customHeight="true" outlineLevel="0" collapsed="false">
      <c r="A16" s="1"/>
      <c r="B16" s="1" t="s">
        <v>58</v>
      </c>
      <c r="C16" s="3" t="n">
        <f aca="false">SUM(C13:C14)-C15</f>
        <v>0</v>
      </c>
      <c r="D16" s="3" t="n">
        <f aca="false">SUM(D13:D14)-D15</f>
        <v>219211.015625</v>
      </c>
      <c r="E16" s="3" t="n">
        <f aca="false">SUM(E13:E14)-E15</f>
        <v>219662.554425733</v>
      </c>
      <c r="F16" s="3" t="n">
        <f aca="false">SUM(F13:F14)-F15</f>
        <v>220115.023322466</v>
      </c>
      <c r="G16" s="3" t="n">
        <f aca="false">SUM(G13:G14)-G15</f>
        <v>278954.183586319</v>
      </c>
      <c r="H16" s="3" t="n">
        <f aca="false">SUM(H13:H14)-H15</f>
        <v>279528.783531294</v>
      </c>
      <c r="I16" s="3" t="n">
        <f aca="false">SUM(I13:I14)-I15</f>
        <v>280104.567058077</v>
      </c>
      <c r="J16" s="3" t="n">
        <f aca="false">SUM(J13:J14)-J15</f>
        <v>23390.1280503877</v>
      </c>
      <c r="K16" s="3" t="n">
        <f aca="false">SUM(K13:K14)-K15</f>
        <v>46876.6157690042</v>
      </c>
      <c r="L16" s="0" t="n">
        <f aca="false">SUM(L13:L14)-L15</f>
        <v>70459.7608835591</v>
      </c>
      <c r="M16" s="0" t="n">
        <f aca="false">SUM(M13:M14)-M15</f>
        <v>87571.9645948422</v>
      </c>
      <c r="N16" s="0" t="n">
        <f aca="false">SUM(N13:N14)-N15</f>
        <v>109690.43562967</v>
      </c>
      <c r="O16" s="0" t="n">
        <f aca="false">SUM(O13:O14)-O15</f>
        <v>131899.655960922</v>
      </c>
      <c r="P16" s="0" t="n">
        <f aca="false">SUM(P13:P14)-P15</f>
        <v>131069.919759115</v>
      </c>
      <c r="Q16" s="0" t="n">
        <f aca="false">SUM(Q13:Q14)-Q15</f>
        <v>150102.745524251</v>
      </c>
      <c r="R16" s="0" t="n">
        <f aca="false">SUM(R13:R14)-R15</f>
        <v>169213.424179146</v>
      </c>
      <c r="S16" s="0" t="n">
        <f aca="false">SUM(S13:S14)-S15</f>
        <v>238273.365146647</v>
      </c>
      <c r="T16" s="0" t="n">
        <f aca="false">SUM(T13:T14)-T15</f>
        <v>262640.586192945</v>
      </c>
      <c r="U16" s="0" t="n">
        <f aca="false">SUM(U13:U14)-U15</f>
        <v>287107.181234529</v>
      </c>
      <c r="V16" s="0" t="n">
        <f aca="false">SUM(V13:V14)-V15</f>
        <v>287698.575019768</v>
      </c>
      <c r="W16" s="0" t="n">
        <f aca="false">SUM(W13:W14)-W15</f>
        <v>288291.186979376</v>
      </c>
      <c r="X16" s="0" t="n">
        <f aca="false">SUM(X13:X14)-X15</f>
        <v>288885.019622592</v>
      </c>
      <c r="Y16" s="0" t="n">
        <f aca="false">SUM(Y13:Y14)-Y15</f>
        <v>269283.79112914</v>
      </c>
      <c r="Z16" s="0" t="n">
        <f aca="false">SUM(Z13:Z14)-Z15</f>
        <v>269838.471648988</v>
      </c>
      <c r="AA16" s="0" t="n">
        <f aca="false">SUM(AA13:AA14)-AA15</f>
        <v>270394.29471989</v>
      </c>
      <c r="AB16" s="0" t="n">
        <f aca="false">SUM(AB13:AB14)-AB15</f>
        <v>230308.573291016</v>
      </c>
      <c r="AC16" s="0" t="n">
        <f aca="false">SUM(AC13:AC14)-AC15</f>
        <v>230782.971243536</v>
      </c>
      <c r="AD16" s="0" t="n">
        <f aca="false">SUM(AD13:AD14)-AD15</f>
        <v>231258.346378166</v>
      </c>
      <c r="AE16" s="0" t="n">
        <f aca="false">SUM(AE13:AE14)-AE15</f>
        <v>293076.239130376</v>
      </c>
      <c r="AF16" s="0" t="n">
        <f aca="false">SUM(AF13:AF14)-AF15</f>
        <v>293679.928197566</v>
      </c>
      <c r="AG16" s="0" t="n">
        <f aca="false">SUM(AG13:AG14)-AG15</f>
        <v>294284.860765392</v>
      </c>
      <c r="AH16" s="0" t="n">
        <f aca="false">SUM(AH13:AH14)-AH15</f>
        <v>294891.039395263</v>
      </c>
      <c r="AI16" s="0" t="n">
        <f aca="false">SUM(AI13:AI14)-AI15</f>
        <v>295498.466653861</v>
      </c>
      <c r="AJ16" s="0" t="n">
        <f aca="false">SUM(AJ13:AJ14)-AJ15</f>
        <v>296107.145113157</v>
      </c>
      <c r="AK16" s="0" t="n">
        <f aca="false">SUM(AK13:AK14)-AK15</f>
        <v>276015.885907368</v>
      </c>
      <c r="AL16" s="0" t="n">
        <f aca="false">SUM(AL13:AL14)-AL15</f>
        <v>276584.433440213</v>
      </c>
      <c r="AM16" s="0" t="n">
        <f aca="false">SUM(AM13:AM14)-AM15</f>
        <v>277154.152087887</v>
      </c>
      <c r="AN16" s="0" t="n">
        <f aca="false">SUM(AN13:AN14)-AN15</f>
        <v>236066.287623291</v>
      </c>
      <c r="AO16" s="0" t="n">
        <f aca="false">SUM(AO13:AO14)-AO15</f>
        <v>236552.545524625</v>
      </c>
      <c r="AP16" s="0" t="n">
        <f aca="false">SUM(AP13:AP14)-AP15</f>
        <v>237039.80503762</v>
      </c>
      <c r="AQ16" s="0" t="n">
        <f aca="false">SUM(AQ13:AQ14)-AQ15</f>
        <v>300403.145108636</v>
      </c>
      <c r="AR16" s="0" t="n">
        <f aca="false">SUM(AR13:AR14)-AR15</f>
        <v>301021.926402505</v>
      </c>
      <c r="AS16" s="0" t="n">
        <f aca="false">SUM(AS13:AS14)-AS15</f>
        <v>301641.982284527</v>
      </c>
      <c r="AT16" s="0" t="n">
        <f aca="false">SUM(AT13:AT14)-AT15</f>
        <v>302263.315380144</v>
      </c>
      <c r="AU16" s="0" t="n">
        <f aca="false">SUM(AU13:AU14)-AU15</f>
        <v>302885.928320207</v>
      </c>
      <c r="AV16" s="0" t="n">
        <f aca="false">SUM(AV13:AV14)-AV15</f>
        <v>303509.823740986</v>
      </c>
      <c r="AW16" s="0" t="n">
        <f aca="false">SUM(AW13:AW14)-AW15</f>
        <v>282916.283055052</v>
      </c>
      <c r="AX16" s="0" t="n">
        <f aca="false">SUM(AX13:AX14)-AX15</f>
        <v>283499.044276218</v>
      </c>
      <c r="AY16" s="0" t="n">
        <f aca="false">SUM(AY13:AY14)-AY15</f>
        <v>284083.005890084</v>
      </c>
      <c r="AZ16" s="0" t="n">
        <f aca="false">SUM(AZ13:AZ14)-AZ15</f>
        <v>241967.944813873</v>
      </c>
      <c r="BA16" s="0" t="n">
        <f aca="false">SUM(BA13:BA14)-BA15</f>
        <v>242466.35916274</v>
      </c>
      <c r="BB16" s="0" t="n">
        <f aca="false">SUM(BB13:BB14)-BB15</f>
        <v>242965.80016356</v>
      </c>
      <c r="BC16" s="0" t="n">
        <f aca="false">SUM(BC13:BC14)-BC15</f>
        <v>307913.223736352</v>
      </c>
      <c r="BD16" s="0" t="n">
        <f aca="false">SUM(BD13:BD14)-BD15</f>
        <v>308547.474562568</v>
      </c>
      <c r="BE16" s="0" t="n">
        <f aca="false">SUM(BE13:BE14)-BE15</f>
        <v>309183.03184164</v>
      </c>
      <c r="BF16" s="0" t="n">
        <f aca="false">SUM(BF13:BF14)-BF15</f>
        <v>309819.898264648</v>
      </c>
      <c r="BG16" s="0" t="n">
        <f aca="false">SUM(BG13:BG14)-BG15</f>
        <v>310458.076528212</v>
      </c>
      <c r="BH16" s="0" t="n">
        <f aca="false">SUM(BH13:BH14)-BH15</f>
        <v>311097.569334511</v>
      </c>
      <c r="BI16" s="0" t="n">
        <f aca="false">SUM(BI13:BI14)-BI15</f>
        <v>289989.190131429</v>
      </c>
      <c r="BJ16" s="0" t="n">
        <f aca="false">SUM(BJ13:BJ14)-BJ15</f>
        <v>290586.520383124</v>
      </c>
      <c r="BK16" s="0" t="n">
        <f aca="false">SUM(BK13:BK14)-BK15</f>
        <v>291185.081037336</v>
      </c>
    </row>
    <row r="17" customFormat="false" ht="25" hidden="false" customHeight="true" outlineLevel="0" collapsed="false">
      <c r="A17" s="1"/>
      <c r="B17" s="1" t="s">
        <v>59</v>
      </c>
      <c r="C17" s="3" t="n">
        <f aca="false">SUM(C13:C14)*Assumptions!$E$21</f>
        <v>0</v>
      </c>
      <c r="D17" s="3" t="n">
        <f aca="false">SUM(D13:D14)*Assumptions!$E$21</f>
        <v>20877.2395833333</v>
      </c>
      <c r="E17" s="3" t="n">
        <f aca="false">SUM(E13:E14)*Assumptions!$E$21</f>
        <v>20920.2432786413</v>
      </c>
      <c r="F17" s="3" t="n">
        <f aca="false">SUM(F13:F14)*Assumptions!$E$21</f>
        <v>20963.3355545206</v>
      </c>
      <c r="G17" s="3" t="n">
        <f aca="false">SUM(G13:G14)*Assumptions!$E$21</f>
        <v>26567.0651034589</v>
      </c>
      <c r="H17" s="3" t="n">
        <f aca="false">SUM(H13:H14)*Assumptions!$E$21</f>
        <v>26621.7889077423</v>
      </c>
      <c r="I17" s="3" t="n">
        <f aca="false">SUM(I13:I14)*Assumptions!$E$21</f>
        <v>26676.6254341026</v>
      </c>
      <c r="J17" s="3" t="n">
        <f aca="false">SUM(J13:J14)*Assumptions!$E$21</f>
        <v>2227.63124289406</v>
      </c>
      <c r="K17" s="3" t="n">
        <f aca="false">SUM(K13:K14)*Assumptions!$E$21</f>
        <v>4464.43959704802</v>
      </c>
      <c r="L17" s="0" t="n">
        <f aca="false">SUM(L13:L14)*Assumptions!$E$21</f>
        <v>6710.45341748182</v>
      </c>
      <c r="M17" s="0" t="n">
        <f aca="false">SUM(M13:M14)*Assumptions!$E$21</f>
        <v>8340.18710427068</v>
      </c>
      <c r="N17" s="0" t="n">
        <f aca="false">SUM(N13:N14)*Assumptions!$E$21</f>
        <v>10446.7081552067</v>
      </c>
      <c r="O17" s="0" t="n">
        <f aca="false">SUM(O13:O14)*Assumptions!$E$21</f>
        <v>12561.8719962783</v>
      </c>
      <c r="P17" s="0" t="n">
        <f aca="false">SUM(P13:P14)*Assumptions!$E$21</f>
        <v>12482.8495008681</v>
      </c>
      <c r="Q17" s="0" t="n">
        <f aca="false">SUM(Q13:Q14)*Assumptions!$E$21</f>
        <v>14295.4995737382</v>
      </c>
      <c r="R17" s="0" t="n">
        <f aca="false">SUM(R13:R14)*Assumptions!$E$21</f>
        <v>16115.5642075377</v>
      </c>
      <c r="S17" s="0" t="n">
        <f aca="false">SUM(S13:S14)*Assumptions!$E$21</f>
        <v>22692.7014425378</v>
      </c>
      <c r="T17" s="0" t="n">
        <f aca="false">SUM(T13:T14)*Assumptions!$E$21</f>
        <v>25013.3891612329</v>
      </c>
      <c r="U17" s="0" t="n">
        <f aca="false">SUM(U13:U14)*Assumptions!$E$21</f>
        <v>27343.5410699552</v>
      </c>
      <c r="V17" s="0" t="n">
        <f aca="false">SUM(V13:V14)*Assumptions!$E$21</f>
        <v>27399.864287597</v>
      </c>
      <c r="W17" s="0" t="n">
        <f aca="false">SUM(W13:W14)*Assumptions!$E$21</f>
        <v>27456.3035218453</v>
      </c>
      <c r="X17" s="0" t="n">
        <f aca="false">SUM(X13:X14)*Assumptions!$E$21</f>
        <v>27512.8590116755</v>
      </c>
      <c r="Y17" s="0" t="n">
        <f aca="false">SUM(Y13:Y14)*Assumptions!$E$21</f>
        <v>25646.0753456324</v>
      </c>
      <c r="Z17" s="0" t="n">
        <f aca="false">SUM(Z13:Z14)*Assumptions!$E$21</f>
        <v>25698.9020618084</v>
      </c>
      <c r="AA17" s="0" t="n">
        <f aca="false">SUM(AA13:AA14)*Assumptions!$E$21</f>
        <v>25751.8375923705</v>
      </c>
      <c r="AB17" s="0" t="n">
        <f aca="false">SUM(AB13:AB14)*Assumptions!$E$21</f>
        <v>21934.1498372396</v>
      </c>
      <c r="AC17" s="0" t="n">
        <f aca="false">SUM(AC13:AC14)*Assumptions!$E$21</f>
        <v>21979.3305946225</v>
      </c>
      <c r="AD17" s="0" t="n">
        <f aca="false">SUM(AD13:AD14)*Assumptions!$E$21</f>
        <v>22024.6044169682</v>
      </c>
      <c r="AE17" s="0" t="n">
        <f aca="false">SUM(AE13:AE14)*Assumptions!$E$21</f>
        <v>27912.0227743215</v>
      </c>
      <c r="AF17" s="0" t="n">
        <f aca="false">SUM(AF13:AF14)*Assumptions!$E$21</f>
        <v>27969.5169711968</v>
      </c>
      <c r="AG17" s="0" t="n">
        <f aca="false">SUM(AG13:AG14)*Assumptions!$E$21</f>
        <v>28027.129596704</v>
      </c>
      <c r="AH17" s="0" t="n">
        <f aca="false">SUM(AH13:AH14)*Assumptions!$E$21</f>
        <v>28084.8608947869</v>
      </c>
      <c r="AI17" s="0" t="n">
        <f aca="false">SUM(AI13:AI14)*Assumptions!$E$21</f>
        <v>28142.7111098915</v>
      </c>
      <c r="AJ17" s="0" t="n">
        <f aca="false">SUM(AJ13:AJ14)*Assumptions!$E$21</f>
        <v>28200.6804869673</v>
      </c>
      <c r="AK17" s="0" t="n">
        <f aca="false">SUM(AK13:AK14)*Assumptions!$E$21</f>
        <v>26287.2272292732</v>
      </c>
      <c r="AL17" s="0" t="n">
        <f aca="false">SUM(AL13:AL14)*Assumptions!$E$21</f>
        <v>26341.3746133536</v>
      </c>
      <c r="AM17" s="0" t="n">
        <f aca="false">SUM(AM13:AM14)*Assumptions!$E$21</f>
        <v>26395.6335321797</v>
      </c>
      <c r="AN17" s="0" t="n">
        <f aca="false">SUM(AN13:AN14)*Assumptions!$E$21</f>
        <v>22482.5035831706</v>
      </c>
      <c r="AO17" s="0" t="n">
        <f aca="false">SUM(AO13:AO14)*Assumptions!$E$21</f>
        <v>22528.8138594881</v>
      </c>
      <c r="AP17" s="0" t="n">
        <f aca="false">SUM(AP13:AP14)*Assumptions!$E$21</f>
        <v>22575.2195273924</v>
      </c>
      <c r="AQ17" s="0" t="n">
        <f aca="false">SUM(AQ13:AQ14)*Assumptions!$E$21</f>
        <v>28609.8233436796</v>
      </c>
      <c r="AR17" s="0" t="n">
        <f aca="false">SUM(AR13:AR14)*Assumptions!$E$21</f>
        <v>28668.7548954767</v>
      </c>
      <c r="AS17" s="0" t="n">
        <f aca="false">SUM(AS13:AS14)*Assumptions!$E$21</f>
        <v>28727.8078366216</v>
      </c>
      <c r="AT17" s="0" t="n">
        <f aca="false">SUM(AT13:AT14)*Assumptions!$E$21</f>
        <v>28786.9824171566</v>
      </c>
      <c r="AU17" s="0" t="n">
        <f aca="false">SUM(AU13:AU14)*Assumptions!$E$21</f>
        <v>28846.2788876388</v>
      </c>
      <c r="AV17" s="0" t="n">
        <f aca="false">SUM(AV13:AV14)*Assumptions!$E$21</f>
        <v>28905.6974991415</v>
      </c>
      <c r="AW17" s="0" t="n">
        <f aca="false">SUM(AW13:AW14)*Assumptions!$E$21</f>
        <v>26944.407910005</v>
      </c>
      <c r="AX17" s="0" t="n">
        <f aca="false">SUM(AX13:AX14)*Assumptions!$E$21</f>
        <v>26999.9089786875</v>
      </c>
      <c r="AY17" s="0" t="n">
        <f aca="false">SUM(AY13:AY14)*Assumptions!$E$21</f>
        <v>27055.5243704842</v>
      </c>
      <c r="AZ17" s="0" t="n">
        <f aca="false">SUM(AZ13:AZ14)*Assumptions!$E$21</f>
        <v>23044.5661727498</v>
      </c>
      <c r="BA17" s="0" t="n">
        <f aca="false">SUM(BA13:BA14)*Assumptions!$E$21</f>
        <v>23092.0342059752</v>
      </c>
      <c r="BB17" s="0" t="n">
        <f aca="false">SUM(BB13:BB14)*Assumptions!$E$21</f>
        <v>23139.6000155772</v>
      </c>
      <c r="BC17" s="0" t="n">
        <f aca="false">SUM(BC13:BC14)*Assumptions!$E$21</f>
        <v>29325.0689272716</v>
      </c>
      <c r="BD17" s="0" t="n">
        <f aca="false">SUM(BD13:BD14)*Assumptions!$E$21</f>
        <v>29385.4737678636</v>
      </c>
      <c r="BE17" s="0" t="n">
        <f aca="false">SUM(BE13:BE14)*Assumptions!$E$21</f>
        <v>29446.0030325372</v>
      </c>
      <c r="BF17" s="0" t="n">
        <f aca="false">SUM(BF13:BF14)*Assumptions!$E$21</f>
        <v>29506.6569775855</v>
      </c>
      <c r="BG17" s="0" t="n">
        <f aca="false">SUM(BG13:BG14)*Assumptions!$E$21</f>
        <v>29567.4358598297</v>
      </c>
      <c r="BH17" s="0" t="n">
        <f aca="false">SUM(BH13:BH14)*Assumptions!$E$21</f>
        <v>29628.3399366201</v>
      </c>
      <c r="BI17" s="0" t="n">
        <f aca="false">SUM(BI13:BI14)*Assumptions!$E$21</f>
        <v>27618.0181077551</v>
      </c>
      <c r="BJ17" s="0" t="n">
        <f aca="false">SUM(BJ13:BJ14)*Assumptions!$E$21</f>
        <v>27674.9067031546</v>
      </c>
      <c r="BK17" s="0" t="n">
        <f aca="false">SUM(BK13:BK14)*Assumptions!$E$21</f>
        <v>27731.9124797463</v>
      </c>
    </row>
    <row r="18" customFormat="false" ht="25" hidden="false" customHeight="true" outlineLevel="0" collapsed="false">
      <c r="A18" s="1"/>
      <c r="B18" s="1" t="s">
        <v>60</v>
      </c>
      <c r="C18" s="3" t="n">
        <f aca="false">Assumptions!$E$10*Assumptions!$E$16*365*Assumptions!$E$17*(1+Assumptions!$E$20)*(1+Assumptions!$E$18)^(C$6/12)*(1-Assumptions!$E$19)</f>
        <v>3094743.75</v>
      </c>
      <c r="D18" s="3" t="n">
        <f aca="false">Assumptions!$E$10*Assumptions!$E$16*365*Assumptions!$E$17*(1+Assumptions!$E$20)*(1+Assumptions!$E$18)^(D$6/12)*(1-Assumptions!$E$19)</f>
        <v>3101118.41542212</v>
      </c>
      <c r="E18" s="3" t="n">
        <f aca="false">Assumptions!$E$10*Assumptions!$E$16*365*Assumptions!$E$17*(1+Assumptions!$E$20)*(1+Assumptions!$E$18)^(E$6/12)*(1-Assumptions!$E$19)</f>
        <v>3107506.21161128</v>
      </c>
      <c r="F18" s="3" t="n">
        <f aca="false">Assumptions!$E$10*Assumptions!$E$16*365*Assumptions!$E$17*(1+Assumptions!$E$20)*(1+Assumptions!$E$18)^(F$6/12)*(1-Assumptions!$E$19)</f>
        <v>3113907.16561472</v>
      </c>
      <c r="G18" s="3" t="n">
        <f aca="false">Assumptions!$E$10*Assumptions!$E$16*365*Assumptions!$E$17*(1+Assumptions!$E$20)*(1+Assumptions!$E$18)^(G$6/12)*(1-Assumptions!$E$19)</f>
        <v>3120321.30453538</v>
      </c>
      <c r="H18" s="3" t="n">
        <f aca="false">Assumptions!$E$10*Assumptions!$E$16*365*Assumptions!$E$17*(1+Assumptions!$E$20)*(1+Assumptions!$E$18)^(H$6/12)*(1-Assumptions!$E$19)</f>
        <v>3126748.65553203</v>
      </c>
      <c r="I18" s="3" t="n">
        <f aca="false">Assumptions!$E$10*Assumptions!$E$16*365*Assumptions!$E$17*(1+Assumptions!$E$20)*(1+Assumptions!$E$18)^(I$6/12)*(1-Assumptions!$E$19)</f>
        <v>3133189.24581937</v>
      </c>
      <c r="J18" s="3" t="n">
        <f aca="false">Assumptions!$E$10*Assumptions!$E$16*365*Assumptions!$E$17*(1+Assumptions!$E$20)*(1+Assumptions!$E$18)^(J$6/12)*(1-Assumptions!$E$19)</f>
        <v>3139643.10266819</v>
      </c>
      <c r="K18" s="3" t="n">
        <f aca="false">Assumptions!$E$10*Assumptions!$E$16*365*Assumptions!$E$17*(1+Assumptions!$E$20)*(1+Assumptions!$E$18)^(K$6/12)*(1-Assumptions!$E$19)</f>
        <v>3146110.25340543</v>
      </c>
      <c r="L18" s="0" t="n">
        <f aca="false">Assumptions!$E$10*Assumptions!$E$16*365*Assumptions!$E$17*(1+Assumptions!$E$20)*(1+Assumptions!$E$18)^(L$6/12)*(1-Assumptions!$E$19)</f>
        <v>3152590.72541432</v>
      </c>
      <c r="M18" s="0" t="n">
        <f aca="false">Assumptions!$E$10*Assumptions!$E$16*365*Assumptions!$E$17*(1+Assumptions!$E$20)*(1+Assumptions!$E$18)^(M$6/12)*(1-Assumptions!$E$19)</f>
        <v>3159084.5461345</v>
      </c>
      <c r="N18" s="0" t="n">
        <f aca="false">Assumptions!$E$10*Assumptions!$E$16*365*Assumptions!$E$17*(1+Assumptions!$E$20)*(1+Assumptions!$E$18)^(N$6/12)*(1-Assumptions!$E$19)</f>
        <v>3165591.74306213</v>
      </c>
      <c r="O18" s="0" t="n">
        <f aca="false">Assumptions!$E$10*Assumptions!$E$16*365*Assumptions!$E$17*(1+Assumptions!$E$20)*(1+Assumptions!$E$18)^(O$6/12)*(1-Assumptions!$E$19)</f>
        <v>3172112.34375</v>
      </c>
      <c r="P18" s="0" t="n">
        <f aca="false">Assumptions!$E$10*Assumptions!$E$16*365*Assumptions!$E$17*(1+Assumptions!$E$20)*(1+Assumptions!$E$18)^(P$6/12)*(1-Assumptions!$E$19)</f>
        <v>3178646.37580767</v>
      </c>
      <c r="Q18" s="0" t="n">
        <f aca="false">Assumptions!$E$10*Assumptions!$E$16*365*Assumptions!$E$17*(1+Assumptions!$E$20)*(1+Assumptions!$E$18)^(Q$6/12)*(1-Assumptions!$E$19)</f>
        <v>3185193.86690157</v>
      </c>
      <c r="R18" s="0" t="n">
        <f aca="false">Assumptions!$E$10*Assumptions!$E$16*365*Assumptions!$E$17*(1+Assumptions!$E$20)*(1+Assumptions!$E$18)^(R$6/12)*(1-Assumptions!$E$19)</f>
        <v>3191754.84475509</v>
      </c>
      <c r="S18" s="0" t="n">
        <f aca="false">Assumptions!$E$10*Assumptions!$E$16*365*Assumptions!$E$17*(1+Assumptions!$E$20)*(1+Assumptions!$E$18)^(S$6/12)*(1-Assumptions!$E$19)</f>
        <v>3198329.33714876</v>
      </c>
      <c r="T18" s="0" t="n">
        <f aca="false">Assumptions!$E$10*Assumptions!$E$16*365*Assumptions!$E$17*(1+Assumptions!$E$20)*(1+Assumptions!$E$18)^(T$6/12)*(1-Assumptions!$E$19)</f>
        <v>3204917.37192033</v>
      </c>
      <c r="U18" s="0" t="n">
        <f aca="false">Assumptions!$E$10*Assumptions!$E$16*365*Assumptions!$E$17*(1+Assumptions!$E$20)*(1+Assumptions!$E$18)^(U$6/12)*(1-Assumptions!$E$19)</f>
        <v>3211518.97696486</v>
      </c>
      <c r="V18" s="0" t="n">
        <f aca="false">Assumptions!$E$10*Assumptions!$E$16*365*Assumptions!$E$17*(1+Assumptions!$E$20)*(1+Assumptions!$E$18)^(V$6/12)*(1-Assumptions!$E$19)</f>
        <v>3218134.1802349</v>
      </c>
      <c r="W18" s="0" t="n">
        <f aca="false">Assumptions!$E$10*Assumptions!$E$16*365*Assumptions!$E$17*(1+Assumptions!$E$20)*(1+Assumptions!$E$18)^(W$6/12)*(1-Assumptions!$E$19)</f>
        <v>3224763.00974057</v>
      </c>
      <c r="X18" s="0" t="n">
        <f aca="false">Assumptions!$E$10*Assumptions!$E$16*365*Assumptions!$E$17*(1+Assumptions!$E$20)*(1+Assumptions!$E$18)^(X$6/12)*(1-Assumptions!$E$19)</f>
        <v>3231405.49354968</v>
      </c>
      <c r="Y18" s="0" t="n">
        <f aca="false">Assumptions!$E$10*Assumptions!$E$16*365*Assumptions!$E$17*(1+Assumptions!$E$20)*(1+Assumptions!$E$18)^(Y$6/12)*(1-Assumptions!$E$19)</f>
        <v>3238061.65978786</v>
      </c>
      <c r="Z18" s="0" t="n">
        <f aca="false">Assumptions!$E$10*Assumptions!$E$16*365*Assumptions!$E$17*(1+Assumptions!$E$20)*(1+Assumptions!$E$18)^(Z$6/12)*(1-Assumptions!$E$19)</f>
        <v>3244731.53663868</v>
      </c>
      <c r="AA18" s="0" t="n">
        <f aca="false">Assumptions!$E$10*Assumptions!$E$16*365*Assumptions!$E$17*(1+Assumptions!$E$20)*(1+Assumptions!$E$18)^(AA$6/12)*(1-Assumptions!$E$19)</f>
        <v>3251415.15234375</v>
      </c>
      <c r="AB18" s="0" t="n">
        <f aca="false">Assumptions!$E$10*Assumptions!$E$16*365*Assumptions!$E$17*(1+Assumptions!$E$20)*(1+Assumptions!$E$18)^(AB$6/12)*(1-Assumptions!$E$19)</f>
        <v>3258112.53520286</v>
      </c>
      <c r="AC18" s="0" t="n">
        <f aca="false">Assumptions!$E$10*Assumptions!$E$16*365*Assumptions!$E$17*(1+Assumptions!$E$20)*(1+Assumptions!$E$18)^(AC$6/12)*(1-Assumptions!$E$19)</f>
        <v>3264823.7135741</v>
      </c>
      <c r="AD18" s="0" t="n">
        <f aca="false">Assumptions!$E$10*Assumptions!$E$16*365*Assumptions!$E$17*(1+Assumptions!$E$20)*(1+Assumptions!$E$18)^(AD$6/12)*(1-Assumptions!$E$19)</f>
        <v>3271548.71587397</v>
      </c>
      <c r="AE18" s="0" t="n">
        <f aca="false">Assumptions!$E$10*Assumptions!$E$16*365*Assumptions!$E$17*(1+Assumptions!$E$20)*(1+Assumptions!$E$18)^(AE$6/12)*(1-Assumptions!$E$19)</f>
        <v>3278287.57057748</v>
      </c>
      <c r="AF18" s="0" t="n">
        <f aca="false">Assumptions!$E$10*Assumptions!$E$16*365*Assumptions!$E$17*(1+Assumptions!$E$20)*(1+Assumptions!$E$18)^(AF$6/12)*(1-Assumptions!$E$19)</f>
        <v>3285040.30621833</v>
      </c>
      <c r="AG18" s="0" t="n">
        <f aca="false">Assumptions!$E$10*Assumptions!$E$16*365*Assumptions!$E$17*(1+Assumptions!$E$20)*(1+Assumptions!$E$18)^(AG$6/12)*(1-Assumptions!$E$19)</f>
        <v>3291806.95138898</v>
      </c>
      <c r="AH18" s="0" t="n">
        <f aca="false">Assumptions!$E$10*Assumptions!$E$16*365*Assumptions!$E$17*(1+Assumptions!$E$20)*(1+Assumptions!$E$18)^(AH$6/12)*(1-Assumptions!$E$19)</f>
        <v>3298587.53474077</v>
      </c>
      <c r="AI18" s="0" t="n">
        <f aca="false">Assumptions!$E$10*Assumptions!$E$16*365*Assumptions!$E$17*(1+Assumptions!$E$20)*(1+Assumptions!$E$18)^(AI$6/12)*(1-Assumptions!$E$19)</f>
        <v>3305382.08498408</v>
      </c>
      <c r="AJ18" s="0" t="n">
        <f aca="false">Assumptions!$E$10*Assumptions!$E$16*365*Assumptions!$E$17*(1+Assumptions!$E$20)*(1+Assumptions!$E$18)^(AJ$6/12)*(1-Assumptions!$E$19)</f>
        <v>3312190.63088842</v>
      </c>
      <c r="AK18" s="0" t="n">
        <f aca="false">Assumptions!$E$10*Assumptions!$E$16*365*Assumptions!$E$17*(1+Assumptions!$E$20)*(1+Assumptions!$E$18)^(AK$6/12)*(1-Assumptions!$E$19)</f>
        <v>3319013.20128256</v>
      </c>
      <c r="AL18" s="0" t="n">
        <f aca="false">Assumptions!$E$10*Assumptions!$E$16*365*Assumptions!$E$17*(1+Assumptions!$E$20)*(1+Assumptions!$E$18)^(AL$6/12)*(1-Assumptions!$E$19)</f>
        <v>3325849.82505465</v>
      </c>
      <c r="AM18" s="0" t="n">
        <f aca="false">Assumptions!$E$10*Assumptions!$E$16*365*Assumptions!$E$17*(1+Assumptions!$E$20)*(1+Assumptions!$E$18)^(AM$6/12)*(1-Assumptions!$E$19)</f>
        <v>3332700.53115234</v>
      </c>
      <c r="AN18" s="0" t="n">
        <f aca="false">Assumptions!$E$10*Assumptions!$E$16*365*Assumptions!$E$17*(1+Assumptions!$E$20)*(1+Assumptions!$E$18)^(AN$6/12)*(1-Assumptions!$E$19)</f>
        <v>3339565.34858294</v>
      </c>
      <c r="AO18" s="0" t="n">
        <f aca="false">Assumptions!$E$10*Assumptions!$E$16*365*Assumptions!$E$17*(1+Assumptions!$E$20)*(1+Assumptions!$E$18)^(AO$6/12)*(1-Assumptions!$E$19)</f>
        <v>3346444.30641346</v>
      </c>
      <c r="AP18" s="0" t="n">
        <f aca="false">Assumptions!$E$10*Assumptions!$E$16*365*Assumptions!$E$17*(1+Assumptions!$E$20)*(1+Assumptions!$E$18)^(AP$6/12)*(1-Assumptions!$E$19)</f>
        <v>3353337.43377082</v>
      </c>
      <c r="AQ18" s="0" t="n">
        <f aca="false">Assumptions!$E$10*Assumptions!$E$16*365*Assumptions!$E$17*(1+Assumptions!$E$20)*(1+Assumptions!$E$18)^(AQ$6/12)*(1-Assumptions!$E$19)</f>
        <v>3360244.75984192</v>
      </c>
      <c r="AR18" s="0" t="n">
        <f aca="false">Assumptions!$E$10*Assumptions!$E$16*365*Assumptions!$E$17*(1+Assumptions!$E$20)*(1+Assumptions!$E$18)^(AR$6/12)*(1-Assumptions!$E$19)</f>
        <v>3367166.31387379</v>
      </c>
      <c r="AS18" s="0" t="n">
        <f aca="false">Assumptions!$E$10*Assumptions!$E$16*365*Assumptions!$E$17*(1+Assumptions!$E$20)*(1+Assumptions!$E$18)^(AS$6/12)*(1-Assumptions!$E$19)</f>
        <v>3374102.1251737</v>
      </c>
      <c r="AT18" s="0" t="n">
        <f aca="false">Assumptions!$E$10*Assumptions!$E$16*365*Assumptions!$E$17*(1+Assumptions!$E$20)*(1+Assumptions!$E$18)^(AT$6/12)*(1-Assumptions!$E$19)</f>
        <v>3381052.22310929</v>
      </c>
      <c r="AU18" s="0" t="n">
        <f aca="false">Assumptions!$E$10*Assumptions!$E$16*365*Assumptions!$E$17*(1+Assumptions!$E$20)*(1+Assumptions!$E$18)^(AU$6/12)*(1-Assumptions!$E$19)</f>
        <v>3388016.63710868</v>
      </c>
      <c r="AV18" s="0" t="n">
        <f aca="false">Assumptions!$E$10*Assumptions!$E$16*365*Assumptions!$E$17*(1+Assumptions!$E$20)*(1+Assumptions!$E$18)^(AV$6/12)*(1-Assumptions!$E$19)</f>
        <v>3394995.39666063</v>
      </c>
      <c r="AW18" s="0" t="n">
        <f aca="false">Assumptions!$E$10*Assumptions!$E$16*365*Assumptions!$E$17*(1+Assumptions!$E$20)*(1+Assumptions!$E$18)^(AW$6/12)*(1-Assumptions!$E$19)</f>
        <v>3401988.53131462</v>
      </c>
      <c r="AX18" s="0" t="n">
        <f aca="false">Assumptions!$E$10*Assumptions!$E$16*365*Assumptions!$E$17*(1+Assumptions!$E$20)*(1+Assumptions!$E$18)^(AX$6/12)*(1-Assumptions!$E$19)</f>
        <v>3408996.07068101</v>
      </c>
      <c r="AY18" s="0" t="n">
        <f aca="false">Assumptions!$E$10*Assumptions!$E$16*365*Assumptions!$E$17*(1+Assumptions!$E$20)*(1+Assumptions!$E$18)^(AY$6/12)*(1-Assumptions!$E$19)</f>
        <v>3416018.04443115</v>
      </c>
      <c r="AZ18" s="0" t="n">
        <f aca="false">Assumptions!$E$10*Assumptions!$E$16*365*Assumptions!$E$17*(1+Assumptions!$E$20)*(1+Assumptions!$E$18)^(AZ$6/12)*(1-Assumptions!$E$19)</f>
        <v>3423054.48229751</v>
      </c>
      <c r="BA18" s="0" t="n">
        <f aca="false">Assumptions!$E$10*Assumptions!$E$16*365*Assumptions!$E$17*(1+Assumptions!$E$20)*(1+Assumptions!$E$18)^(BA$6/12)*(1-Assumptions!$E$19)</f>
        <v>3430105.41407379</v>
      </c>
      <c r="BB18" s="0" t="n">
        <f aca="false">Assumptions!$E$10*Assumptions!$E$16*365*Assumptions!$E$17*(1+Assumptions!$E$20)*(1+Assumptions!$E$18)^(BB$6/12)*(1-Assumptions!$E$19)</f>
        <v>3437170.86961509</v>
      </c>
      <c r="BC18" s="0" t="n">
        <f aca="false">Assumptions!$E$10*Assumptions!$E$16*365*Assumptions!$E$17*(1+Assumptions!$E$20)*(1+Assumptions!$E$18)^(BC$6/12)*(1-Assumptions!$E$19)</f>
        <v>3444250.87883797</v>
      </c>
      <c r="BD18" s="0" t="n">
        <f aca="false">Assumptions!$E$10*Assumptions!$E$16*365*Assumptions!$E$17*(1+Assumptions!$E$20)*(1+Assumptions!$E$18)^(BD$6/12)*(1-Assumptions!$E$19)</f>
        <v>3451345.47172064</v>
      </c>
      <c r="BE18" s="0" t="n">
        <f aca="false">Assumptions!$E$10*Assumptions!$E$16*365*Assumptions!$E$17*(1+Assumptions!$E$20)*(1+Assumptions!$E$18)^(BE$6/12)*(1-Assumptions!$E$19)</f>
        <v>3458454.67830304</v>
      </c>
      <c r="BF18" s="0" t="n">
        <f aca="false">Assumptions!$E$10*Assumptions!$E$16*365*Assumptions!$E$17*(1+Assumptions!$E$20)*(1+Assumptions!$E$18)^(BF$6/12)*(1-Assumptions!$E$19)</f>
        <v>3465578.52868702</v>
      </c>
      <c r="BG18" s="0" t="n">
        <f aca="false">Assumptions!$E$10*Assumptions!$E$16*365*Assumptions!$E$17*(1+Assumptions!$E$20)*(1+Assumptions!$E$18)^(BG$6/12)*(1-Assumptions!$E$19)</f>
        <v>3472717.0530364</v>
      </c>
      <c r="BH18" s="0" t="n">
        <f aca="false">Assumptions!$E$10*Assumptions!$E$16*365*Assumptions!$E$17*(1+Assumptions!$E$20)*(1+Assumptions!$E$18)^(BH$6/12)*(1-Assumptions!$E$19)</f>
        <v>3479870.28157714</v>
      </c>
      <c r="BI18" s="0" t="n">
        <f aca="false">Assumptions!$E$10*Assumptions!$E$16*365*Assumptions!$E$17*(1+Assumptions!$E$20)*(1+Assumptions!$E$18)^(BI$6/12)*(1-Assumptions!$E$19)</f>
        <v>3487038.24459749</v>
      </c>
      <c r="BJ18" s="0" t="n">
        <f aca="false">Assumptions!$E$10*Assumptions!$E$16*365*Assumptions!$E$17*(1+Assumptions!$E$20)*(1+Assumptions!$E$18)^(BJ$6/12)*(1-Assumptions!$E$19)</f>
        <v>3494220.97244804</v>
      </c>
      <c r="BK18" s="0" t="n">
        <f aca="false">Assumptions!$E$10*Assumptions!$E$16*365*Assumptions!$E$17*(1+Assumptions!$E$20)*(1+Assumptions!$E$18)^(BK$6/12)*(1-Assumptions!$E$19)</f>
        <v>3501418.49554193</v>
      </c>
    </row>
    <row r="19" customFormat="false" ht="25" hidden="false" customHeight="true" outlineLevel="0" collapsed="false">
      <c r="A19" s="1"/>
      <c r="B19" s="1" t="s">
        <v>61</v>
      </c>
      <c r="C19" s="3" t="n">
        <f aca="false">0</f>
        <v>0</v>
      </c>
      <c r="D19" s="3" t="n">
        <f aca="false">C27</f>
        <v>8268000</v>
      </c>
      <c r="E19" s="3" t="n">
        <f aca="false">D27</f>
        <v>8395291.66666667</v>
      </c>
      <c r="F19" s="3" t="n">
        <f aca="false">E27</f>
        <v>8522583.33333333</v>
      </c>
      <c r="G19" s="3" t="n">
        <f aca="false">F27</f>
        <v>8649875</v>
      </c>
      <c r="H19" s="3" t="n">
        <f aca="false">G27</f>
        <v>8777166.66666666</v>
      </c>
      <c r="I19" s="3" t="n">
        <f aca="false">H27</f>
        <v>8904458.33333333</v>
      </c>
      <c r="J19" s="3" t="n">
        <f aca="false">I27</f>
        <v>9031750</v>
      </c>
      <c r="K19" s="3" t="n">
        <f aca="false">J27</f>
        <v>9031750</v>
      </c>
      <c r="L19" s="0" t="n">
        <f aca="false">K27</f>
        <v>9031750</v>
      </c>
      <c r="M19" s="0" t="n">
        <f aca="false">L27</f>
        <v>9031750</v>
      </c>
      <c r="N19" s="0" t="n">
        <f aca="false">M27</f>
        <v>9031750</v>
      </c>
      <c r="O19" s="0" t="n">
        <f aca="false">N27</f>
        <v>9031750</v>
      </c>
      <c r="P19" s="0" t="n">
        <f aca="false">O27</f>
        <v>9031750</v>
      </c>
      <c r="Q19" s="0" t="n">
        <f aca="false">P27</f>
        <v>9031750</v>
      </c>
      <c r="R19" s="0" t="n">
        <f aca="false">Q27</f>
        <v>9031750</v>
      </c>
      <c r="S19" s="0" t="n">
        <f aca="false">R27</f>
        <v>9031750</v>
      </c>
      <c r="T19" s="0" t="n">
        <f aca="false">S27</f>
        <v>9031750</v>
      </c>
      <c r="U19" s="0" t="n">
        <f aca="false">T27</f>
        <v>9031750</v>
      </c>
      <c r="V19" s="0" t="n">
        <f aca="false">U27</f>
        <v>9031750</v>
      </c>
      <c r="W19" s="0" t="n">
        <f aca="false">V27</f>
        <v>9031750</v>
      </c>
      <c r="X19" s="0" t="n">
        <f aca="false">W27</f>
        <v>9031750</v>
      </c>
      <c r="Y19" s="0" t="n">
        <f aca="false">X27</f>
        <v>9031750</v>
      </c>
      <c r="Z19" s="0" t="n">
        <f aca="false">Y27</f>
        <v>9031750</v>
      </c>
      <c r="AA19" s="0" t="n">
        <f aca="false">Z27</f>
        <v>9031750</v>
      </c>
      <c r="AB19" s="0" t="n">
        <f aca="false">AA27</f>
        <v>9031750</v>
      </c>
      <c r="AC19" s="0" t="n">
        <f aca="false">AB27</f>
        <v>9031750</v>
      </c>
      <c r="AD19" s="0" t="n">
        <f aca="false">AC27</f>
        <v>9031750</v>
      </c>
      <c r="AE19" s="0" t="n">
        <f aca="false">AD27</f>
        <v>9031750</v>
      </c>
      <c r="AF19" s="0" t="n">
        <f aca="false">AE27</f>
        <v>9031750</v>
      </c>
      <c r="AG19" s="0" t="n">
        <f aca="false">AF27</f>
        <v>9031750</v>
      </c>
      <c r="AH19" s="0" t="n">
        <f aca="false">AG27</f>
        <v>9031750</v>
      </c>
      <c r="AI19" s="0" t="n">
        <f aca="false">AH27</f>
        <v>9031750</v>
      </c>
      <c r="AJ19" s="0" t="n">
        <f aca="false">AI27</f>
        <v>9031750</v>
      </c>
      <c r="AK19" s="0" t="n">
        <f aca="false">AJ27</f>
        <v>9031750</v>
      </c>
      <c r="AL19" s="0" t="n">
        <f aca="false">AK27</f>
        <v>9031750</v>
      </c>
      <c r="AM19" s="0" t="n">
        <f aca="false">AL27</f>
        <v>9031750</v>
      </c>
      <c r="AN19" s="0" t="n">
        <f aca="false">AM27</f>
        <v>9031750</v>
      </c>
      <c r="AO19" s="0" t="n">
        <f aca="false">AN27</f>
        <v>9031750</v>
      </c>
      <c r="AP19" s="0" t="n">
        <f aca="false">AO27</f>
        <v>9031750</v>
      </c>
      <c r="AQ19" s="0" t="n">
        <f aca="false">AP27</f>
        <v>9031750</v>
      </c>
      <c r="AR19" s="0" t="n">
        <f aca="false">AQ27</f>
        <v>9031750</v>
      </c>
      <c r="AS19" s="0" t="n">
        <f aca="false">AR27</f>
        <v>9031750</v>
      </c>
      <c r="AT19" s="0" t="n">
        <f aca="false">AS27</f>
        <v>35208022.1757256</v>
      </c>
      <c r="AU19" s="0" t="n">
        <f aca="false">AT27</f>
        <v>35208022.1757256</v>
      </c>
      <c r="AV19" s="0" t="n">
        <f aca="false">AU27</f>
        <v>35208022.1757256</v>
      </c>
      <c r="AW19" s="0" t="n">
        <f aca="false">AV27</f>
        <v>35208022.1757256</v>
      </c>
      <c r="AX19" s="0" t="n">
        <f aca="false">AW27</f>
        <v>35208022.1757256</v>
      </c>
      <c r="AY19" s="0" t="n">
        <f aca="false">AX27</f>
        <v>35208022.1757256</v>
      </c>
      <c r="AZ19" s="0" t="n">
        <f aca="false">AY27</f>
        <v>35208022.1757256</v>
      </c>
      <c r="BA19" s="0" t="n">
        <f aca="false">AZ27</f>
        <v>35208022.1757256</v>
      </c>
      <c r="BB19" s="0" t="n">
        <f aca="false">BA27</f>
        <v>35208022.1757256</v>
      </c>
      <c r="BC19" s="0" t="n">
        <f aca="false">BB27</f>
        <v>35208022.1757256</v>
      </c>
      <c r="BD19" s="0" t="n">
        <f aca="false">BC27</f>
        <v>35208022.1757256</v>
      </c>
      <c r="BE19" s="0" t="n">
        <f aca="false">BD27</f>
        <v>35208022.1757256</v>
      </c>
      <c r="BF19" s="0" t="n">
        <f aca="false">BE27</f>
        <v>35208022.1757256</v>
      </c>
      <c r="BG19" s="0" t="n">
        <f aca="false">BF27</f>
        <v>35208022.1757256</v>
      </c>
      <c r="BH19" s="0" t="n">
        <f aca="false">BG27</f>
        <v>35208022.1757256</v>
      </c>
      <c r="BI19" s="0" t="n">
        <f aca="false">BH27</f>
        <v>35208022.1757256</v>
      </c>
      <c r="BJ19" s="0" t="n">
        <f aca="false">BI27</f>
        <v>35208022.1757256</v>
      </c>
      <c r="BK19" s="0" t="n">
        <f aca="false">BJ27</f>
        <v>35208022.1757256</v>
      </c>
    </row>
    <row r="20" customFormat="false" ht="25" hidden="false" customHeight="true" outlineLevel="0" collapsed="false">
      <c r="A20" s="1"/>
      <c r="B20" s="1" t="s">
        <v>62</v>
      </c>
      <c r="C20" s="3" t="n">
        <f aca="false">0</f>
        <v>0</v>
      </c>
      <c r="D20" s="3" t="n">
        <f aca="false">(D19+D10/2)*IF(AND(Assumptions!$E$24&gt;0,D$6&gt;Assumptions!$E$24),Assumptions!$E$27,Assumptions!$E$23)/12</f>
        <v>45129.7482638889</v>
      </c>
      <c r="E20" s="3" t="n">
        <f aca="false">(E19+E10/2)*IF(AND(Assumptions!$E$24&gt;0,E$6&gt;Assumptions!$E$24),Assumptions!$E$27,Assumptions!$E$23)/12</f>
        <v>45819.2447916667</v>
      </c>
      <c r="F20" s="3" t="n">
        <f aca="false">(F19+F10/2)*IF(AND(Assumptions!$E$24&gt;0,F$6&gt;Assumptions!$E$24),Assumptions!$E$27,Assumptions!$E$23)/12</f>
        <v>46508.7413194444</v>
      </c>
      <c r="G20" s="3" t="n">
        <f aca="false">(G19+G10/2)*IF(AND(Assumptions!$E$24&gt;0,G$6&gt;Assumptions!$E$24),Assumptions!$E$27,Assumptions!$E$23)/12</f>
        <v>47198.2378472222</v>
      </c>
      <c r="H20" s="3" t="n">
        <f aca="false">(H19+H10/2)*IF(AND(Assumptions!$E$24&gt;0,H$6&gt;Assumptions!$E$24),Assumptions!$E$27,Assumptions!$E$23)/12</f>
        <v>47887.734375</v>
      </c>
      <c r="I20" s="3" t="n">
        <f aca="false">(I19+I10/2)*IF(AND(Assumptions!$E$24&gt;0,I$6&gt;Assumptions!$E$24),Assumptions!$E$27,Assumptions!$E$23)/12</f>
        <v>48577.2309027778</v>
      </c>
      <c r="J20" s="3" t="n">
        <f aca="false">(J19+J10/2)*IF(AND(Assumptions!$E$24&gt;0,J$6&gt;Assumptions!$E$24),Assumptions!$E$27,Assumptions!$E$23)/12</f>
        <v>48921.9791666667</v>
      </c>
      <c r="K20" s="3" t="n">
        <f aca="false">(K19+K10/2)*IF(AND(Assumptions!$E$24&gt;0,K$6&gt;Assumptions!$E$24),Assumptions!$E$27,Assumptions!$E$23)/12</f>
        <v>48921.9791666667</v>
      </c>
      <c r="L20" s="0" t="n">
        <f aca="false">(L19+L10/2)*IF(AND(Assumptions!$E$24&gt;0,L$6&gt;Assumptions!$E$24),Assumptions!$E$27,Assumptions!$E$23)/12</f>
        <v>48921.9791666667</v>
      </c>
      <c r="M20" s="0" t="n">
        <f aca="false">(M19+M10/2)*IF(AND(Assumptions!$E$24&gt;0,M$6&gt;Assumptions!$E$24),Assumptions!$E$27,Assumptions!$E$23)/12</f>
        <v>48921.9791666667</v>
      </c>
      <c r="N20" s="0" t="n">
        <f aca="false">(N19+N10/2)*IF(AND(Assumptions!$E$24&gt;0,N$6&gt;Assumptions!$E$24),Assumptions!$E$27,Assumptions!$E$23)/12</f>
        <v>48921.9791666667</v>
      </c>
      <c r="O20" s="0" t="n">
        <f aca="false">(O19+O10/2)*IF(AND(Assumptions!$E$24&gt;0,O$6&gt;Assumptions!$E$24),Assumptions!$E$27,Assumptions!$E$23)/12</f>
        <v>48921.9791666667</v>
      </c>
      <c r="P20" s="0" t="n">
        <f aca="false">(P19+P10/2)*IF(AND(Assumptions!$E$24&gt;0,P$6&gt;Assumptions!$E$24),Assumptions!$E$27,Assumptions!$E$23)/12</f>
        <v>48921.9791666667</v>
      </c>
      <c r="Q20" s="0" t="n">
        <f aca="false">(Q19+Q10/2)*IF(AND(Assumptions!$E$24&gt;0,Q$6&gt;Assumptions!$E$24),Assumptions!$E$27,Assumptions!$E$23)/12</f>
        <v>48921.9791666667</v>
      </c>
      <c r="R20" s="0" t="n">
        <f aca="false">(R19+R10/2)*IF(AND(Assumptions!$E$24&gt;0,R$6&gt;Assumptions!$E$24),Assumptions!$E$27,Assumptions!$E$23)/12</f>
        <v>48921.9791666667</v>
      </c>
      <c r="S20" s="0" t="n">
        <f aca="false">(S19+S10/2)*IF(AND(Assumptions!$E$24&gt;0,S$6&gt;Assumptions!$E$24),Assumptions!$E$27,Assumptions!$E$23)/12</f>
        <v>48921.9791666667</v>
      </c>
      <c r="T20" s="0" t="n">
        <f aca="false">(T19+T10/2)*IF(AND(Assumptions!$E$24&gt;0,T$6&gt;Assumptions!$E$24),Assumptions!$E$27,Assumptions!$E$23)/12</f>
        <v>48921.9791666667</v>
      </c>
      <c r="U20" s="0" t="n">
        <f aca="false">(U19+U10/2)*IF(AND(Assumptions!$E$24&gt;0,U$6&gt;Assumptions!$E$24),Assumptions!$E$27,Assumptions!$E$23)/12</f>
        <v>48921.9791666667</v>
      </c>
      <c r="V20" s="0" t="n">
        <f aca="false">(V19+V10/2)*IF(AND(Assumptions!$E$24&gt;0,V$6&gt;Assumptions!$E$24),Assumptions!$E$27,Assumptions!$E$23)/12</f>
        <v>48921.9791666667</v>
      </c>
      <c r="W20" s="0" t="n">
        <f aca="false">(W19+W10/2)*IF(AND(Assumptions!$E$24&gt;0,W$6&gt;Assumptions!$E$24),Assumptions!$E$27,Assumptions!$E$23)/12</f>
        <v>48921.9791666667</v>
      </c>
      <c r="X20" s="0" t="n">
        <f aca="false">(X19+X10/2)*IF(AND(Assumptions!$E$24&gt;0,X$6&gt;Assumptions!$E$24),Assumptions!$E$27,Assumptions!$E$23)/12</f>
        <v>48921.9791666667</v>
      </c>
      <c r="Y20" s="0" t="n">
        <f aca="false">(Y19+Y10/2)*IF(AND(Assumptions!$E$24&gt;0,Y$6&gt;Assumptions!$E$24),Assumptions!$E$27,Assumptions!$E$23)/12</f>
        <v>48921.9791666667</v>
      </c>
      <c r="Z20" s="0" t="n">
        <f aca="false">(Z19+Z10/2)*IF(AND(Assumptions!$E$24&gt;0,Z$6&gt;Assumptions!$E$24),Assumptions!$E$27,Assumptions!$E$23)/12</f>
        <v>48921.9791666667</v>
      </c>
      <c r="AA20" s="0" t="n">
        <f aca="false">(AA19+AA10/2)*IF(AND(Assumptions!$E$24&gt;0,AA$6&gt;Assumptions!$E$24),Assumptions!$E$27,Assumptions!$E$23)/12</f>
        <v>48921.9791666667</v>
      </c>
      <c r="AB20" s="0" t="n">
        <f aca="false">(AB19+AB10/2)*IF(AND(Assumptions!$E$24&gt;0,AB$6&gt;Assumptions!$E$24),Assumptions!$E$27,Assumptions!$E$23)/12</f>
        <v>48921.9791666667</v>
      </c>
      <c r="AC20" s="0" t="n">
        <f aca="false">(AC19+AC10/2)*IF(AND(Assumptions!$E$24&gt;0,AC$6&gt;Assumptions!$E$24),Assumptions!$E$27,Assumptions!$E$23)/12</f>
        <v>48921.9791666667</v>
      </c>
      <c r="AD20" s="0" t="n">
        <f aca="false">(AD19+AD10/2)*IF(AND(Assumptions!$E$24&gt;0,AD$6&gt;Assumptions!$E$24),Assumptions!$E$27,Assumptions!$E$23)/12</f>
        <v>48921.9791666667</v>
      </c>
      <c r="AE20" s="0" t="n">
        <f aca="false">(AE19+AE10/2)*IF(AND(Assumptions!$E$24&gt;0,AE$6&gt;Assumptions!$E$24),Assumptions!$E$27,Assumptions!$E$23)/12</f>
        <v>48921.9791666667</v>
      </c>
      <c r="AF20" s="0" t="n">
        <f aca="false">(AF19+AF10/2)*IF(AND(Assumptions!$E$24&gt;0,AF$6&gt;Assumptions!$E$24),Assumptions!$E$27,Assumptions!$E$23)/12</f>
        <v>48921.9791666667</v>
      </c>
      <c r="AG20" s="0" t="n">
        <f aca="false">(AG19+AG10/2)*IF(AND(Assumptions!$E$24&gt;0,AG$6&gt;Assumptions!$E$24),Assumptions!$E$27,Assumptions!$E$23)/12</f>
        <v>48921.9791666667</v>
      </c>
      <c r="AH20" s="0" t="n">
        <f aca="false">(AH19+AH10/2)*IF(AND(Assumptions!$E$24&gt;0,AH$6&gt;Assumptions!$E$24),Assumptions!$E$27,Assumptions!$E$23)/12</f>
        <v>48921.9791666667</v>
      </c>
      <c r="AI20" s="0" t="n">
        <f aca="false">(AI19+AI10/2)*IF(AND(Assumptions!$E$24&gt;0,AI$6&gt;Assumptions!$E$24),Assumptions!$E$27,Assumptions!$E$23)/12</f>
        <v>48921.9791666667</v>
      </c>
      <c r="AJ20" s="0" t="n">
        <f aca="false">(AJ19+AJ10/2)*IF(AND(Assumptions!$E$24&gt;0,AJ$6&gt;Assumptions!$E$24),Assumptions!$E$27,Assumptions!$E$23)/12</f>
        <v>48921.9791666667</v>
      </c>
      <c r="AK20" s="0" t="n">
        <f aca="false">(AK19+AK10/2)*IF(AND(Assumptions!$E$24&gt;0,AK$6&gt;Assumptions!$E$24),Assumptions!$E$27,Assumptions!$E$23)/12</f>
        <v>48921.9791666667</v>
      </c>
      <c r="AL20" s="0" t="n">
        <f aca="false">(AL19+AL10/2)*IF(AND(Assumptions!$E$24&gt;0,AL$6&gt;Assumptions!$E$24),Assumptions!$E$27,Assumptions!$E$23)/12</f>
        <v>48921.9791666667</v>
      </c>
      <c r="AM20" s="0" t="n">
        <f aca="false">(AM19+AM10/2)*IF(AND(Assumptions!$E$24&gt;0,AM$6&gt;Assumptions!$E$24),Assumptions!$E$27,Assumptions!$E$23)/12</f>
        <v>48921.9791666667</v>
      </c>
      <c r="AN20" s="0" t="n">
        <f aca="false">(AN19+AN10/2)*IF(AND(Assumptions!$E$24&gt;0,AN$6&gt;Assumptions!$E$24),Assumptions!$E$27,Assumptions!$E$23)/12</f>
        <v>48921.9791666667</v>
      </c>
      <c r="AO20" s="0" t="n">
        <f aca="false">(AO19+AO10/2)*IF(AND(Assumptions!$E$24&gt;0,AO$6&gt;Assumptions!$E$24),Assumptions!$E$27,Assumptions!$E$23)/12</f>
        <v>48921.9791666667</v>
      </c>
      <c r="AP20" s="0" t="n">
        <f aca="false">(AP19+AP10/2)*IF(AND(Assumptions!$E$24&gt;0,AP$6&gt;Assumptions!$E$24),Assumptions!$E$27,Assumptions!$E$23)/12</f>
        <v>48921.9791666667</v>
      </c>
      <c r="AQ20" s="0" t="n">
        <f aca="false">(AQ19+AQ10/2)*IF(AND(Assumptions!$E$24&gt;0,AQ$6&gt;Assumptions!$E$24),Assumptions!$E$27,Assumptions!$E$23)/12</f>
        <v>48921.9791666667</v>
      </c>
      <c r="AR20" s="0" t="n">
        <f aca="false">(AR19+AR10/2)*IF(AND(Assumptions!$E$24&gt;0,AR$6&gt;Assumptions!$E$24),Assumptions!$E$27,Assumptions!$E$23)/12</f>
        <v>48921.9791666667</v>
      </c>
      <c r="AS20" s="0" t="n">
        <f aca="false">(AS19+AS10/2)*IF(AND(Assumptions!$E$24&gt;0,AS$6&gt;Assumptions!$E$24),Assumptions!$E$27,Assumptions!$E$23)/12</f>
        <v>48921.9791666667</v>
      </c>
      <c r="AT20" s="0" t="n">
        <f aca="false">(AT19+AT10/2)*IF(AND(Assumptions!$E$24&gt;0,AT$6&gt;Assumptions!$E$24),Assumptions!$E$27,Assumptions!$E$23)/12</f>
        <v>161370.101638742</v>
      </c>
      <c r="AU20" s="0" t="n">
        <f aca="false">(AU19+AU10/2)*IF(AND(Assumptions!$E$24&gt;0,AU$6&gt;Assumptions!$E$24),Assumptions!$E$27,Assumptions!$E$23)/12</f>
        <v>161370.101638742</v>
      </c>
      <c r="AV20" s="0" t="n">
        <f aca="false">(AV19+AV10/2)*IF(AND(Assumptions!$E$24&gt;0,AV$6&gt;Assumptions!$E$24),Assumptions!$E$27,Assumptions!$E$23)/12</f>
        <v>161370.101638742</v>
      </c>
      <c r="AW20" s="0" t="n">
        <f aca="false">(AW19+AW10/2)*IF(AND(Assumptions!$E$24&gt;0,AW$6&gt;Assumptions!$E$24),Assumptions!$E$27,Assumptions!$E$23)/12</f>
        <v>161370.101638742</v>
      </c>
      <c r="AX20" s="0" t="n">
        <f aca="false">(AX19+AX10/2)*IF(AND(Assumptions!$E$24&gt;0,AX$6&gt;Assumptions!$E$24),Assumptions!$E$27,Assumptions!$E$23)/12</f>
        <v>161370.101638742</v>
      </c>
      <c r="AY20" s="0" t="n">
        <f aca="false">(AY19+AY10/2)*IF(AND(Assumptions!$E$24&gt;0,AY$6&gt;Assumptions!$E$24),Assumptions!$E$27,Assumptions!$E$23)/12</f>
        <v>161370.101638742</v>
      </c>
      <c r="AZ20" s="0" t="n">
        <f aca="false">(AZ19+AZ10/2)*IF(AND(Assumptions!$E$24&gt;0,AZ$6&gt;Assumptions!$E$24),Assumptions!$E$27,Assumptions!$E$23)/12</f>
        <v>161370.101638742</v>
      </c>
      <c r="BA20" s="0" t="n">
        <f aca="false">(BA19+BA10/2)*IF(AND(Assumptions!$E$24&gt;0,BA$6&gt;Assumptions!$E$24),Assumptions!$E$27,Assumptions!$E$23)/12</f>
        <v>161370.101638742</v>
      </c>
      <c r="BB20" s="0" t="n">
        <f aca="false">(BB19+BB10/2)*IF(AND(Assumptions!$E$24&gt;0,BB$6&gt;Assumptions!$E$24),Assumptions!$E$27,Assumptions!$E$23)/12</f>
        <v>161370.101638742</v>
      </c>
      <c r="BC20" s="0" t="n">
        <f aca="false">(BC19+BC10/2)*IF(AND(Assumptions!$E$24&gt;0,BC$6&gt;Assumptions!$E$24),Assumptions!$E$27,Assumptions!$E$23)/12</f>
        <v>161370.101638742</v>
      </c>
      <c r="BD20" s="0" t="n">
        <f aca="false">(BD19+BD10/2)*IF(AND(Assumptions!$E$24&gt;0,BD$6&gt;Assumptions!$E$24),Assumptions!$E$27,Assumptions!$E$23)/12</f>
        <v>161370.101638742</v>
      </c>
      <c r="BE20" s="0" t="n">
        <f aca="false">(BE19+BE10/2)*IF(AND(Assumptions!$E$24&gt;0,BE$6&gt;Assumptions!$E$24),Assumptions!$E$27,Assumptions!$E$23)/12</f>
        <v>161370.101638742</v>
      </c>
      <c r="BF20" s="0" t="n">
        <f aca="false">(BF19+BF10/2)*IF(AND(Assumptions!$E$24&gt;0,BF$6&gt;Assumptions!$E$24),Assumptions!$E$27,Assumptions!$E$23)/12</f>
        <v>161370.101638742</v>
      </c>
      <c r="BG20" s="0" t="n">
        <f aca="false">(BG19+BG10/2)*IF(AND(Assumptions!$E$24&gt;0,BG$6&gt;Assumptions!$E$24),Assumptions!$E$27,Assumptions!$E$23)/12</f>
        <v>161370.101638742</v>
      </c>
      <c r="BH20" s="0" t="n">
        <f aca="false">(BH19+BH10/2)*IF(AND(Assumptions!$E$24&gt;0,BH$6&gt;Assumptions!$E$24),Assumptions!$E$27,Assumptions!$E$23)/12</f>
        <v>161370.101638742</v>
      </c>
      <c r="BI20" s="0" t="n">
        <f aca="false">(BI19+BI10/2)*IF(AND(Assumptions!$E$24&gt;0,BI$6&gt;Assumptions!$E$24),Assumptions!$E$27,Assumptions!$E$23)/12</f>
        <v>161370.101638742</v>
      </c>
      <c r="BJ20" s="0" t="n">
        <f aca="false">(BJ19+BJ10/2)*IF(AND(Assumptions!$E$24&gt;0,BJ$6&gt;Assumptions!$E$24),Assumptions!$E$27,Assumptions!$E$23)/12</f>
        <v>161370.101638742</v>
      </c>
      <c r="BK20" s="0" t="n">
        <f aca="false">(BK19+BK10/2)*IF(AND(Assumptions!$E$24&gt;0,BK$6&gt;Assumptions!$E$24),Assumptions!$E$27,Assumptions!$E$23)/12</f>
        <v>161370.101638742</v>
      </c>
    </row>
    <row r="21" customFormat="false" ht="25" hidden="false" customHeight="true" outlineLevel="0" collapsed="false">
      <c r="A21" s="1"/>
      <c r="B21" s="1" t="s">
        <v>63</v>
      </c>
      <c r="C21" s="3" t="n">
        <f aca="false">0</f>
        <v>0</v>
      </c>
      <c r="D21" s="3" t="n">
        <f aca="false">IF(AND(Assumptions!$E$24&gt;Assumptions!$E$14,D$6=Assumptions!$E$24),MIN(D18/Assumptions!$E$28*Assumptions!$E$25,D18/Assumptions!$E$26/Assumptions!$E$27),0)</f>
        <v>0</v>
      </c>
      <c r="E21" s="3" t="n">
        <f aca="false">IF(AND(Assumptions!$E$24&gt;Assumptions!$E$14,E$6=Assumptions!$E$24),MIN(E18/Assumptions!$E$28*Assumptions!$E$25,E18/Assumptions!$E$26/Assumptions!$E$27),0)</f>
        <v>0</v>
      </c>
      <c r="F21" s="3" t="n">
        <f aca="false">IF(AND(Assumptions!$E$24&gt;Assumptions!$E$14,F$6=Assumptions!$E$24),MIN(F18/Assumptions!$E$28*Assumptions!$E$25,F18/Assumptions!$E$26/Assumptions!$E$27),0)</f>
        <v>0</v>
      </c>
      <c r="G21" s="3" t="n">
        <f aca="false">IF(AND(Assumptions!$E$24&gt;Assumptions!$E$14,G$6=Assumptions!$E$24),MIN(G18/Assumptions!$E$28*Assumptions!$E$25,G18/Assumptions!$E$26/Assumptions!$E$27),0)</f>
        <v>0</v>
      </c>
      <c r="H21" s="3" t="n">
        <f aca="false">IF(AND(Assumptions!$E$24&gt;Assumptions!$E$14,H$6=Assumptions!$E$24),MIN(H18/Assumptions!$E$28*Assumptions!$E$25,H18/Assumptions!$E$26/Assumptions!$E$27),0)</f>
        <v>0</v>
      </c>
      <c r="I21" s="3" t="n">
        <f aca="false">IF(AND(Assumptions!$E$24&gt;Assumptions!$E$14,I$6=Assumptions!$E$24),MIN(I18/Assumptions!$E$28*Assumptions!$E$25,I18/Assumptions!$E$26/Assumptions!$E$27),0)</f>
        <v>0</v>
      </c>
      <c r="J21" s="3" t="n">
        <f aca="false">IF(AND(Assumptions!$E$24&gt;Assumptions!$E$14,J$6=Assumptions!$E$24),MIN(J18/Assumptions!$E$28*Assumptions!$E$25,J18/Assumptions!$E$26/Assumptions!$E$27),0)</f>
        <v>0</v>
      </c>
      <c r="K21" s="3" t="n">
        <f aca="false">IF(AND(Assumptions!$E$24&gt;Assumptions!$E$14,K$6=Assumptions!$E$24),MIN(K18/Assumptions!$E$28*Assumptions!$E$25,K18/Assumptions!$E$26/Assumptions!$E$27),0)</f>
        <v>0</v>
      </c>
      <c r="L21" s="0" t="n">
        <f aca="false">IF(AND(Assumptions!$E$24&gt;Assumptions!$E$14,L$6=Assumptions!$E$24),MIN(L18/Assumptions!$E$28*Assumptions!$E$25,L18/Assumptions!$E$26/Assumptions!$E$27),0)</f>
        <v>0</v>
      </c>
      <c r="M21" s="0" t="n">
        <f aca="false">IF(AND(Assumptions!$E$24&gt;Assumptions!$E$14,M$6=Assumptions!$E$24),MIN(M18/Assumptions!$E$28*Assumptions!$E$25,M18/Assumptions!$E$26/Assumptions!$E$27),0)</f>
        <v>0</v>
      </c>
      <c r="N21" s="0" t="n">
        <f aca="false">IF(AND(Assumptions!$E$24&gt;Assumptions!$E$14,N$6=Assumptions!$E$24),MIN(N18/Assumptions!$E$28*Assumptions!$E$25,N18/Assumptions!$E$26/Assumptions!$E$27),0)</f>
        <v>0</v>
      </c>
      <c r="O21" s="0" t="n">
        <f aca="false">IF(AND(Assumptions!$E$24&gt;Assumptions!$E$14,O$6=Assumptions!$E$24),MIN(O18/Assumptions!$E$28*Assumptions!$E$25,O18/Assumptions!$E$26/Assumptions!$E$27),0)</f>
        <v>0</v>
      </c>
      <c r="P21" s="0" t="n">
        <f aca="false">IF(AND(Assumptions!$E$24&gt;Assumptions!$E$14,P$6=Assumptions!$E$24),MIN(P18/Assumptions!$E$28*Assumptions!$E$25,P18/Assumptions!$E$26/Assumptions!$E$27),0)</f>
        <v>0</v>
      </c>
      <c r="Q21" s="0" t="n">
        <f aca="false">IF(AND(Assumptions!$E$24&gt;Assumptions!$E$14,Q$6=Assumptions!$E$24),MIN(Q18/Assumptions!$E$28*Assumptions!$E$25,Q18/Assumptions!$E$26/Assumptions!$E$27),0)</f>
        <v>0</v>
      </c>
      <c r="R21" s="0" t="n">
        <f aca="false">IF(AND(Assumptions!$E$24&gt;Assumptions!$E$14,R$6=Assumptions!$E$24),MIN(R18/Assumptions!$E$28*Assumptions!$E$25,R18/Assumptions!$E$26/Assumptions!$E$27),0)</f>
        <v>0</v>
      </c>
      <c r="S21" s="0" t="n">
        <f aca="false">IF(AND(Assumptions!$E$24&gt;Assumptions!$E$14,S$6=Assumptions!$E$24),MIN(S18/Assumptions!$E$28*Assumptions!$E$25,S18/Assumptions!$E$26/Assumptions!$E$27),0)</f>
        <v>0</v>
      </c>
      <c r="T21" s="0" t="n">
        <f aca="false">IF(AND(Assumptions!$E$24&gt;Assumptions!$E$14,T$6=Assumptions!$E$24),MIN(T18/Assumptions!$E$28*Assumptions!$E$25,T18/Assumptions!$E$26/Assumptions!$E$27),0)</f>
        <v>0</v>
      </c>
      <c r="U21" s="0" t="n">
        <f aca="false">IF(AND(Assumptions!$E$24&gt;Assumptions!$E$14,U$6=Assumptions!$E$24),MIN(U18/Assumptions!$E$28*Assumptions!$E$25,U18/Assumptions!$E$26/Assumptions!$E$27),0)</f>
        <v>0</v>
      </c>
      <c r="V21" s="0" t="n">
        <f aca="false">IF(AND(Assumptions!$E$24&gt;Assumptions!$E$14,V$6=Assumptions!$E$24),MIN(V18/Assumptions!$E$28*Assumptions!$E$25,V18/Assumptions!$E$26/Assumptions!$E$27),0)</f>
        <v>0</v>
      </c>
      <c r="W21" s="0" t="n">
        <f aca="false">IF(AND(Assumptions!$E$24&gt;Assumptions!$E$14,W$6=Assumptions!$E$24),MIN(W18/Assumptions!$E$28*Assumptions!$E$25,W18/Assumptions!$E$26/Assumptions!$E$27),0)</f>
        <v>0</v>
      </c>
      <c r="X21" s="0" t="n">
        <f aca="false">IF(AND(Assumptions!$E$24&gt;Assumptions!$E$14,X$6=Assumptions!$E$24),MIN(X18/Assumptions!$E$28*Assumptions!$E$25,X18/Assumptions!$E$26/Assumptions!$E$27),0)</f>
        <v>0</v>
      </c>
      <c r="Y21" s="0" t="n">
        <f aca="false">IF(AND(Assumptions!$E$24&gt;Assumptions!$E$14,Y$6=Assumptions!$E$24),MIN(Y18/Assumptions!$E$28*Assumptions!$E$25,Y18/Assumptions!$E$26/Assumptions!$E$27),0)</f>
        <v>0</v>
      </c>
      <c r="Z21" s="0" t="n">
        <f aca="false">IF(AND(Assumptions!$E$24&gt;Assumptions!$E$14,Z$6=Assumptions!$E$24),MIN(Z18/Assumptions!$E$28*Assumptions!$E$25,Z18/Assumptions!$E$26/Assumptions!$E$27),0)</f>
        <v>0</v>
      </c>
      <c r="AA21" s="0" t="n">
        <f aca="false">IF(AND(Assumptions!$E$24&gt;Assumptions!$E$14,AA$6=Assumptions!$E$24),MIN(AA18/Assumptions!$E$28*Assumptions!$E$25,AA18/Assumptions!$E$26/Assumptions!$E$27),0)</f>
        <v>0</v>
      </c>
      <c r="AB21" s="0" t="n">
        <f aca="false">IF(AND(Assumptions!$E$24&gt;Assumptions!$E$14,AB$6=Assumptions!$E$24),MIN(AB18/Assumptions!$E$28*Assumptions!$E$25,AB18/Assumptions!$E$26/Assumptions!$E$27),0)</f>
        <v>0</v>
      </c>
      <c r="AC21" s="0" t="n">
        <f aca="false">IF(AND(Assumptions!$E$24&gt;Assumptions!$E$14,AC$6=Assumptions!$E$24),MIN(AC18/Assumptions!$E$28*Assumptions!$E$25,AC18/Assumptions!$E$26/Assumptions!$E$27),0)</f>
        <v>0</v>
      </c>
      <c r="AD21" s="0" t="n">
        <f aca="false">IF(AND(Assumptions!$E$24&gt;Assumptions!$E$14,AD$6=Assumptions!$E$24),MIN(AD18/Assumptions!$E$28*Assumptions!$E$25,AD18/Assumptions!$E$26/Assumptions!$E$27),0)</f>
        <v>0</v>
      </c>
      <c r="AE21" s="0" t="n">
        <f aca="false">IF(AND(Assumptions!$E$24&gt;Assumptions!$E$14,AE$6=Assumptions!$E$24),MIN(AE18/Assumptions!$E$28*Assumptions!$E$25,AE18/Assumptions!$E$26/Assumptions!$E$27),0)</f>
        <v>0</v>
      </c>
      <c r="AF21" s="0" t="n">
        <f aca="false">IF(AND(Assumptions!$E$24&gt;Assumptions!$E$14,AF$6=Assumptions!$E$24),MIN(AF18/Assumptions!$E$28*Assumptions!$E$25,AF18/Assumptions!$E$26/Assumptions!$E$27),0)</f>
        <v>0</v>
      </c>
      <c r="AG21" s="0" t="n">
        <f aca="false">IF(AND(Assumptions!$E$24&gt;Assumptions!$E$14,AG$6=Assumptions!$E$24),MIN(AG18/Assumptions!$E$28*Assumptions!$E$25,AG18/Assumptions!$E$26/Assumptions!$E$27),0)</f>
        <v>0</v>
      </c>
      <c r="AH21" s="0" t="n">
        <f aca="false">IF(AND(Assumptions!$E$24&gt;Assumptions!$E$14,AH$6=Assumptions!$E$24),MIN(AH18/Assumptions!$E$28*Assumptions!$E$25,AH18/Assumptions!$E$26/Assumptions!$E$27),0)</f>
        <v>0</v>
      </c>
      <c r="AI21" s="0" t="n">
        <f aca="false">IF(AND(Assumptions!$E$24&gt;Assumptions!$E$14,AI$6=Assumptions!$E$24),MIN(AI18/Assumptions!$E$28*Assumptions!$E$25,AI18/Assumptions!$E$26/Assumptions!$E$27),0)</f>
        <v>0</v>
      </c>
      <c r="AJ21" s="0" t="n">
        <f aca="false">IF(AND(Assumptions!$E$24&gt;Assumptions!$E$14,AJ$6=Assumptions!$E$24),MIN(AJ18/Assumptions!$E$28*Assumptions!$E$25,AJ18/Assumptions!$E$26/Assumptions!$E$27),0)</f>
        <v>0</v>
      </c>
      <c r="AK21" s="0" t="n">
        <f aca="false">IF(AND(Assumptions!$E$24&gt;Assumptions!$E$14,AK$6=Assumptions!$E$24),MIN(AK18/Assumptions!$E$28*Assumptions!$E$25,AK18/Assumptions!$E$26/Assumptions!$E$27),0)</f>
        <v>0</v>
      </c>
      <c r="AL21" s="0" t="n">
        <f aca="false">IF(AND(Assumptions!$E$24&gt;Assumptions!$E$14,AL$6=Assumptions!$E$24),MIN(AL18/Assumptions!$E$28*Assumptions!$E$25,AL18/Assumptions!$E$26/Assumptions!$E$27),0)</f>
        <v>0</v>
      </c>
      <c r="AM21" s="0" t="n">
        <f aca="false">IF(AND(Assumptions!$E$24&gt;Assumptions!$E$14,AM$6=Assumptions!$E$24),MIN(AM18/Assumptions!$E$28*Assumptions!$E$25,AM18/Assumptions!$E$26/Assumptions!$E$27),0)</f>
        <v>0</v>
      </c>
      <c r="AN21" s="0" t="n">
        <f aca="false">IF(AND(Assumptions!$E$24&gt;Assumptions!$E$14,AN$6=Assumptions!$E$24),MIN(AN18/Assumptions!$E$28*Assumptions!$E$25,AN18/Assumptions!$E$26/Assumptions!$E$27),0)</f>
        <v>0</v>
      </c>
      <c r="AO21" s="0" t="n">
        <f aca="false">IF(AND(Assumptions!$E$24&gt;Assumptions!$E$14,AO$6=Assumptions!$E$24),MIN(AO18/Assumptions!$E$28*Assumptions!$E$25,AO18/Assumptions!$E$26/Assumptions!$E$27),0)</f>
        <v>0</v>
      </c>
      <c r="AP21" s="0" t="n">
        <f aca="false">IF(AND(Assumptions!$E$24&gt;Assumptions!$E$14,AP$6=Assumptions!$E$24),MIN(AP18/Assumptions!$E$28*Assumptions!$E$25,AP18/Assumptions!$E$26/Assumptions!$E$27),0)</f>
        <v>0</v>
      </c>
      <c r="AQ21" s="0" t="n">
        <f aca="false">IF(AND(Assumptions!$E$24&gt;Assumptions!$E$14,AQ$6=Assumptions!$E$24),MIN(AQ18/Assumptions!$E$28*Assumptions!$E$25,AQ18/Assumptions!$E$26/Assumptions!$E$27),0)</f>
        <v>0</v>
      </c>
      <c r="AR21" s="0" t="n">
        <f aca="false">IF(AND(Assumptions!$E$24&gt;Assumptions!$E$14,AR$6=Assumptions!$E$24),MIN(AR18/Assumptions!$E$28*Assumptions!$E$25,AR18/Assumptions!$E$26/Assumptions!$E$27),0)</f>
        <v>0</v>
      </c>
      <c r="AS21" s="0" t="n">
        <f aca="false">IF(AND(Assumptions!$E$24&gt;Assumptions!$E$14,AS$6=Assumptions!$E$24),MIN(AS18/Assumptions!$E$28*Assumptions!$E$25,AS18/Assumptions!$E$26/Assumptions!$E$27),0)</f>
        <v>35208022.1757256</v>
      </c>
      <c r="AT21" s="0" t="n">
        <f aca="false">IF(AND(Assumptions!$E$24&gt;Assumptions!$E$14,AT$6=Assumptions!$E$24),MIN(AT18/Assumptions!$E$28*Assumptions!$E$25,AT18/Assumptions!$E$26/Assumptions!$E$27),0)</f>
        <v>0</v>
      </c>
      <c r="AU21" s="0" t="n">
        <f aca="false">IF(AND(Assumptions!$E$24&gt;Assumptions!$E$14,AU$6=Assumptions!$E$24),MIN(AU18/Assumptions!$E$28*Assumptions!$E$25,AU18/Assumptions!$E$26/Assumptions!$E$27),0)</f>
        <v>0</v>
      </c>
      <c r="AV21" s="0" t="n">
        <f aca="false">IF(AND(Assumptions!$E$24&gt;Assumptions!$E$14,AV$6=Assumptions!$E$24),MIN(AV18/Assumptions!$E$28*Assumptions!$E$25,AV18/Assumptions!$E$26/Assumptions!$E$27),0)</f>
        <v>0</v>
      </c>
      <c r="AW21" s="0" t="n">
        <f aca="false">IF(AND(Assumptions!$E$24&gt;Assumptions!$E$14,AW$6=Assumptions!$E$24),MIN(AW18/Assumptions!$E$28*Assumptions!$E$25,AW18/Assumptions!$E$26/Assumptions!$E$27),0)</f>
        <v>0</v>
      </c>
      <c r="AX21" s="0" t="n">
        <f aca="false">IF(AND(Assumptions!$E$24&gt;Assumptions!$E$14,AX$6=Assumptions!$E$24),MIN(AX18/Assumptions!$E$28*Assumptions!$E$25,AX18/Assumptions!$E$26/Assumptions!$E$27),0)</f>
        <v>0</v>
      </c>
      <c r="AY21" s="0" t="n">
        <f aca="false">IF(AND(Assumptions!$E$24&gt;Assumptions!$E$14,AY$6=Assumptions!$E$24),MIN(AY18/Assumptions!$E$28*Assumptions!$E$25,AY18/Assumptions!$E$26/Assumptions!$E$27),0)</f>
        <v>0</v>
      </c>
      <c r="AZ21" s="0" t="n">
        <f aca="false">IF(AND(Assumptions!$E$24&gt;Assumptions!$E$14,AZ$6=Assumptions!$E$24),MIN(AZ18/Assumptions!$E$28*Assumptions!$E$25,AZ18/Assumptions!$E$26/Assumptions!$E$27),0)</f>
        <v>0</v>
      </c>
      <c r="BA21" s="0" t="n">
        <f aca="false">IF(AND(Assumptions!$E$24&gt;Assumptions!$E$14,BA$6=Assumptions!$E$24),MIN(BA18/Assumptions!$E$28*Assumptions!$E$25,BA18/Assumptions!$E$26/Assumptions!$E$27),0)</f>
        <v>0</v>
      </c>
      <c r="BB21" s="0" t="n">
        <f aca="false">IF(AND(Assumptions!$E$24&gt;Assumptions!$E$14,BB$6=Assumptions!$E$24),MIN(BB18/Assumptions!$E$28*Assumptions!$E$25,BB18/Assumptions!$E$26/Assumptions!$E$27),0)</f>
        <v>0</v>
      </c>
      <c r="BC21" s="0" t="n">
        <f aca="false">IF(AND(Assumptions!$E$24&gt;Assumptions!$E$14,BC$6=Assumptions!$E$24),MIN(BC18/Assumptions!$E$28*Assumptions!$E$25,BC18/Assumptions!$E$26/Assumptions!$E$27),0)</f>
        <v>0</v>
      </c>
      <c r="BD21" s="0" t="n">
        <f aca="false">IF(AND(Assumptions!$E$24&gt;Assumptions!$E$14,BD$6=Assumptions!$E$24),MIN(BD18/Assumptions!$E$28*Assumptions!$E$25,BD18/Assumptions!$E$26/Assumptions!$E$27),0)</f>
        <v>0</v>
      </c>
      <c r="BE21" s="0" t="n">
        <f aca="false">IF(AND(Assumptions!$E$24&gt;Assumptions!$E$14,BE$6=Assumptions!$E$24),MIN(BE18/Assumptions!$E$28*Assumptions!$E$25,BE18/Assumptions!$E$26/Assumptions!$E$27),0)</f>
        <v>0</v>
      </c>
      <c r="BF21" s="0" t="n">
        <f aca="false">IF(AND(Assumptions!$E$24&gt;Assumptions!$E$14,BF$6=Assumptions!$E$24),MIN(BF18/Assumptions!$E$28*Assumptions!$E$25,BF18/Assumptions!$E$26/Assumptions!$E$27),0)</f>
        <v>0</v>
      </c>
      <c r="BG21" s="0" t="n">
        <f aca="false">IF(AND(Assumptions!$E$24&gt;Assumptions!$E$14,BG$6=Assumptions!$E$24),MIN(BG18/Assumptions!$E$28*Assumptions!$E$25,BG18/Assumptions!$E$26/Assumptions!$E$27),0)</f>
        <v>0</v>
      </c>
      <c r="BH21" s="0" t="n">
        <f aca="false">IF(AND(Assumptions!$E$24&gt;Assumptions!$E$14,BH$6=Assumptions!$E$24),MIN(BH18/Assumptions!$E$28*Assumptions!$E$25,BH18/Assumptions!$E$26/Assumptions!$E$27),0)</f>
        <v>0</v>
      </c>
      <c r="BI21" s="0" t="n">
        <f aca="false">IF(AND(Assumptions!$E$24&gt;Assumptions!$E$14,BI$6=Assumptions!$E$24),MIN(BI18/Assumptions!$E$28*Assumptions!$E$25,BI18/Assumptions!$E$26/Assumptions!$E$27),0)</f>
        <v>0</v>
      </c>
      <c r="BJ21" s="0" t="n">
        <f aca="false">IF(AND(Assumptions!$E$24&gt;Assumptions!$E$14,BJ$6=Assumptions!$E$24),MIN(BJ18/Assumptions!$E$28*Assumptions!$E$25,BJ18/Assumptions!$E$26/Assumptions!$E$27),0)</f>
        <v>0</v>
      </c>
      <c r="BK21" s="0" t="n">
        <f aca="false">IF(AND(Assumptions!$E$24&gt;Assumptions!$E$14,BK$6=Assumptions!$E$24),MIN(BK18/Assumptions!$E$28*Assumptions!$E$25,BK18/Assumptions!$E$26/Assumptions!$E$27),0)</f>
        <v>0</v>
      </c>
    </row>
    <row r="22" customFormat="false" ht="25" hidden="false" customHeight="true" outlineLevel="0" collapsed="false">
      <c r="A22" s="1"/>
      <c r="B22" s="1" t="s">
        <v>64</v>
      </c>
      <c r="C22" s="3" t="n">
        <f aca="false">0</f>
        <v>0</v>
      </c>
      <c r="D22" s="3" t="n">
        <f aca="false">0</f>
        <v>0</v>
      </c>
      <c r="E22" s="3" t="n">
        <f aca="false">0</f>
        <v>0</v>
      </c>
      <c r="F22" s="3" t="n">
        <f aca="false">0</f>
        <v>0</v>
      </c>
      <c r="G22" s="3" t="n">
        <f aca="false">0</f>
        <v>0</v>
      </c>
      <c r="H22" s="3" t="n">
        <f aca="false">0</f>
        <v>0</v>
      </c>
      <c r="I22" s="3" t="n">
        <f aca="false">0</f>
        <v>0</v>
      </c>
      <c r="J22" s="3" t="n">
        <f aca="false">0</f>
        <v>0</v>
      </c>
      <c r="K22" s="3" t="n">
        <f aca="false">0</f>
        <v>0</v>
      </c>
      <c r="L22" s="0" t="n">
        <f aca="false">0</f>
        <v>0</v>
      </c>
      <c r="M22" s="0" t="n">
        <f aca="false">0</f>
        <v>0</v>
      </c>
      <c r="N22" s="0" t="n">
        <f aca="false">0</f>
        <v>0</v>
      </c>
      <c r="O22" s="0" t="n">
        <f aca="false">0</f>
        <v>0</v>
      </c>
      <c r="P22" s="0" t="n">
        <f aca="false">0</f>
        <v>0</v>
      </c>
      <c r="Q22" s="0" t="n">
        <f aca="false">0</f>
        <v>0</v>
      </c>
      <c r="R22" s="0" t="n">
        <f aca="false">0</f>
        <v>0</v>
      </c>
      <c r="S22" s="0" t="n">
        <f aca="false">0</f>
        <v>0</v>
      </c>
      <c r="T22" s="0" t="n">
        <f aca="false">0</f>
        <v>0</v>
      </c>
      <c r="U22" s="0" t="n">
        <f aca="false">0</f>
        <v>0</v>
      </c>
      <c r="V22" s="0" t="n">
        <f aca="false">0</f>
        <v>0</v>
      </c>
      <c r="W22" s="0" t="n">
        <f aca="false">0</f>
        <v>0</v>
      </c>
      <c r="X22" s="0" t="n">
        <f aca="false">0</f>
        <v>0</v>
      </c>
      <c r="Y22" s="0" t="n">
        <f aca="false">0</f>
        <v>0</v>
      </c>
      <c r="Z22" s="0" t="n">
        <f aca="false">0</f>
        <v>0</v>
      </c>
      <c r="AA22" s="0" t="n">
        <f aca="false">0</f>
        <v>0</v>
      </c>
      <c r="AB22" s="0" t="n">
        <f aca="false">0</f>
        <v>0</v>
      </c>
      <c r="AC22" s="0" t="n">
        <f aca="false">0</f>
        <v>0</v>
      </c>
      <c r="AD22" s="0" t="n">
        <f aca="false">0</f>
        <v>0</v>
      </c>
      <c r="AE22" s="0" t="n">
        <f aca="false">0</f>
        <v>0</v>
      </c>
      <c r="AF22" s="0" t="n">
        <f aca="false">0</f>
        <v>0</v>
      </c>
      <c r="AG22" s="0" t="n">
        <f aca="false">0</f>
        <v>0</v>
      </c>
      <c r="AH22" s="0" t="n">
        <f aca="false">0</f>
        <v>0</v>
      </c>
      <c r="AI22" s="0" t="n">
        <f aca="false">0</f>
        <v>0</v>
      </c>
      <c r="AJ22" s="0" t="n">
        <f aca="false">0</f>
        <v>0</v>
      </c>
      <c r="AK22" s="0" t="n">
        <f aca="false">0</f>
        <v>0</v>
      </c>
      <c r="AL22" s="0" t="n">
        <f aca="false">0</f>
        <v>0</v>
      </c>
      <c r="AM22" s="0" t="n">
        <f aca="false">0</f>
        <v>0</v>
      </c>
      <c r="AN22" s="0" t="n">
        <f aca="false">0</f>
        <v>0</v>
      </c>
      <c r="AO22" s="0" t="n">
        <f aca="false">0</f>
        <v>0</v>
      </c>
      <c r="AP22" s="0" t="n">
        <f aca="false">0</f>
        <v>0</v>
      </c>
      <c r="AQ22" s="0" t="n">
        <f aca="false">0</f>
        <v>0</v>
      </c>
      <c r="AR22" s="0" t="n">
        <f aca="false">0</f>
        <v>0</v>
      </c>
      <c r="AS22" s="0" t="n">
        <f aca="false">0</f>
        <v>0</v>
      </c>
      <c r="AT22" s="0" t="n">
        <f aca="false">0</f>
        <v>0</v>
      </c>
      <c r="AU22" s="0" t="n">
        <f aca="false">0</f>
        <v>0</v>
      </c>
      <c r="AV22" s="0" t="n">
        <f aca="false">0</f>
        <v>0</v>
      </c>
      <c r="AW22" s="0" t="n">
        <f aca="false">0</f>
        <v>0</v>
      </c>
      <c r="AX22" s="0" t="n">
        <f aca="false">0</f>
        <v>0</v>
      </c>
      <c r="AY22" s="0" t="n">
        <f aca="false">0</f>
        <v>0</v>
      </c>
      <c r="AZ22" s="0" t="n">
        <f aca="false">0</f>
        <v>0</v>
      </c>
      <c r="BA22" s="0" t="n">
        <f aca="false">0</f>
        <v>0</v>
      </c>
      <c r="BB22" s="0" t="n">
        <f aca="false">0</f>
        <v>0</v>
      </c>
      <c r="BC22" s="0" t="n">
        <f aca="false">0</f>
        <v>0</v>
      </c>
      <c r="BD22" s="0" t="n">
        <f aca="false">0</f>
        <v>0</v>
      </c>
      <c r="BE22" s="0" t="n">
        <f aca="false">0</f>
        <v>0</v>
      </c>
      <c r="BF22" s="0" t="n">
        <f aca="false">0</f>
        <v>0</v>
      </c>
      <c r="BG22" s="0" t="n">
        <f aca="false">0</f>
        <v>0</v>
      </c>
      <c r="BH22" s="0" t="n">
        <f aca="false">0</f>
        <v>0</v>
      </c>
      <c r="BI22" s="0" t="n">
        <f aca="false">0</f>
        <v>0</v>
      </c>
      <c r="BJ22" s="0" t="n">
        <f aca="false">0</f>
        <v>0</v>
      </c>
      <c r="BK22" s="0" t="n">
        <f aca="false">BK18/Assumptions!$E$28</f>
        <v>60894234.705077</v>
      </c>
    </row>
    <row r="23" customFormat="false" ht="25" hidden="false" customHeight="true" outlineLevel="0" collapsed="false">
      <c r="A23" s="1"/>
      <c r="B23" s="1" t="s">
        <v>65</v>
      </c>
      <c r="C23" s="3" t="n">
        <f aca="false">(C22+0)*Assumptions!$E$29</f>
        <v>0</v>
      </c>
      <c r="D23" s="3" t="n">
        <f aca="false">(D22+0)*Assumptions!$E$29</f>
        <v>0</v>
      </c>
      <c r="E23" s="3" t="n">
        <f aca="false">(E22+0)*Assumptions!$E$29</f>
        <v>0</v>
      </c>
      <c r="F23" s="3" t="n">
        <f aca="false">(F22+0)*Assumptions!$E$29</f>
        <v>0</v>
      </c>
      <c r="G23" s="3" t="n">
        <f aca="false">(G22+0)*Assumptions!$E$29</f>
        <v>0</v>
      </c>
      <c r="H23" s="3" t="n">
        <f aca="false">(H22+0)*Assumptions!$E$29</f>
        <v>0</v>
      </c>
      <c r="I23" s="3" t="n">
        <f aca="false">(I22+0)*Assumptions!$E$29</f>
        <v>0</v>
      </c>
      <c r="J23" s="3" t="n">
        <f aca="false">(J22+0)*Assumptions!$E$29</f>
        <v>0</v>
      </c>
      <c r="K23" s="3" t="n">
        <f aca="false">(K22+0)*Assumptions!$E$29</f>
        <v>0</v>
      </c>
      <c r="L23" s="0" t="n">
        <f aca="false">(L22+0)*Assumptions!$E$29</f>
        <v>0</v>
      </c>
      <c r="M23" s="0" t="n">
        <f aca="false">(M22+0)*Assumptions!$E$29</f>
        <v>0</v>
      </c>
      <c r="N23" s="0" t="n">
        <f aca="false">(N22+0)*Assumptions!$E$29</f>
        <v>0</v>
      </c>
      <c r="O23" s="0" t="n">
        <f aca="false">(O22+0)*Assumptions!$E$29</f>
        <v>0</v>
      </c>
      <c r="P23" s="0" t="n">
        <f aca="false">(P22+0)*Assumptions!$E$29</f>
        <v>0</v>
      </c>
      <c r="Q23" s="0" t="n">
        <f aca="false">(Q22+0)*Assumptions!$E$29</f>
        <v>0</v>
      </c>
      <c r="R23" s="0" t="n">
        <f aca="false">(R22+0)*Assumptions!$E$29</f>
        <v>0</v>
      </c>
      <c r="S23" s="0" t="n">
        <f aca="false">(S22+0)*Assumptions!$E$29</f>
        <v>0</v>
      </c>
      <c r="T23" s="0" t="n">
        <f aca="false">(T22+0)*Assumptions!$E$29</f>
        <v>0</v>
      </c>
      <c r="U23" s="0" t="n">
        <f aca="false">(U22+0)*Assumptions!$E$29</f>
        <v>0</v>
      </c>
      <c r="V23" s="0" t="n">
        <f aca="false">(V22+0)*Assumptions!$E$29</f>
        <v>0</v>
      </c>
      <c r="W23" s="0" t="n">
        <f aca="false">(W22+0)*Assumptions!$E$29</f>
        <v>0</v>
      </c>
      <c r="X23" s="0" t="n">
        <f aca="false">(X22+0)*Assumptions!$E$29</f>
        <v>0</v>
      </c>
      <c r="Y23" s="0" t="n">
        <f aca="false">(Y22+0)*Assumptions!$E$29</f>
        <v>0</v>
      </c>
      <c r="Z23" s="0" t="n">
        <f aca="false">(Z22+0)*Assumptions!$E$29</f>
        <v>0</v>
      </c>
      <c r="AA23" s="0" t="n">
        <f aca="false">(AA22+0)*Assumptions!$E$29</f>
        <v>0</v>
      </c>
      <c r="AB23" s="0" t="n">
        <f aca="false">(AB22+0)*Assumptions!$E$29</f>
        <v>0</v>
      </c>
      <c r="AC23" s="0" t="n">
        <f aca="false">(AC22+0)*Assumptions!$E$29</f>
        <v>0</v>
      </c>
      <c r="AD23" s="0" t="n">
        <f aca="false">(AD22+0)*Assumptions!$E$29</f>
        <v>0</v>
      </c>
      <c r="AE23" s="0" t="n">
        <f aca="false">(AE22+0)*Assumptions!$E$29</f>
        <v>0</v>
      </c>
      <c r="AF23" s="0" t="n">
        <f aca="false">(AF22+0)*Assumptions!$E$29</f>
        <v>0</v>
      </c>
      <c r="AG23" s="0" t="n">
        <f aca="false">(AG22+0)*Assumptions!$E$29</f>
        <v>0</v>
      </c>
      <c r="AH23" s="0" t="n">
        <f aca="false">(AH22+0)*Assumptions!$E$29</f>
        <v>0</v>
      </c>
      <c r="AI23" s="0" t="n">
        <f aca="false">(AI22+0)*Assumptions!$E$29</f>
        <v>0</v>
      </c>
      <c r="AJ23" s="0" t="n">
        <f aca="false">(AJ22+0)*Assumptions!$E$29</f>
        <v>0</v>
      </c>
      <c r="AK23" s="0" t="n">
        <f aca="false">(AK22+0)*Assumptions!$E$29</f>
        <v>0</v>
      </c>
      <c r="AL23" s="0" t="n">
        <f aca="false">(AL22+0)*Assumptions!$E$29</f>
        <v>0</v>
      </c>
      <c r="AM23" s="0" t="n">
        <f aca="false">(AM22+0)*Assumptions!$E$29</f>
        <v>0</v>
      </c>
      <c r="AN23" s="0" t="n">
        <f aca="false">(AN22+0)*Assumptions!$E$29</f>
        <v>0</v>
      </c>
      <c r="AO23" s="0" t="n">
        <f aca="false">(AO22+0)*Assumptions!$E$29</f>
        <v>0</v>
      </c>
      <c r="AP23" s="0" t="n">
        <f aca="false">(AP22+0)*Assumptions!$E$29</f>
        <v>0</v>
      </c>
      <c r="AQ23" s="0" t="n">
        <f aca="false">(AQ22+0)*Assumptions!$E$29</f>
        <v>0</v>
      </c>
      <c r="AR23" s="0" t="n">
        <f aca="false">(AR22+0)*Assumptions!$E$29</f>
        <v>0</v>
      </c>
      <c r="AS23" s="0" t="n">
        <f aca="false">(AS22+0)*Assumptions!$E$29</f>
        <v>0</v>
      </c>
      <c r="AT23" s="0" t="n">
        <f aca="false">(AT22+0)*Assumptions!$E$29</f>
        <v>0</v>
      </c>
      <c r="AU23" s="0" t="n">
        <f aca="false">(AU22+0)*Assumptions!$E$29</f>
        <v>0</v>
      </c>
      <c r="AV23" s="0" t="n">
        <f aca="false">(AV22+0)*Assumptions!$E$29</f>
        <v>0</v>
      </c>
      <c r="AW23" s="0" t="n">
        <f aca="false">(AW22+0)*Assumptions!$E$29</f>
        <v>0</v>
      </c>
      <c r="AX23" s="0" t="n">
        <f aca="false">(AX22+0)*Assumptions!$E$29</f>
        <v>0</v>
      </c>
      <c r="AY23" s="0" t="n">
        <f aca="false">(AY22+0)*Assumptions!$E$29</f>
        <v>0</v>
      </c>
      <c r="AZ23" s="0" t="n">
        <f aca="false">(AZ22+0)*Assumptions!$E$29</f>
        <v>0</v>
      </c>
      <c r="BA23" s="0" t="n">
        <f aca="false">(BA22+0)*Assumptions!$E$29</f>
        <v>0</v>
      </c>
      <c r="BB23" s="0" t="n">
        <f aca="false">(BB22+0)*Assumptions!$E$29</f>
        <v>0</v>
      </c>
      <c r="BC23" s="0" t="n">
        <f aca="false">(BC22+0)*Assumptions!$E$29</f>
        <v>0</v>
      </c>
      <c r="BD23" s="0" t="n">
        <f aca="false">(BD22+0)*Assumptions!$E$29</f>
        <v>0</v>
      </c>
      <c r="BE23" s="0" t="n">
        <f aca="false">(BE22+0)*Assumptions!$E$29</f>
        <v>0</v>
      </c>
      <c r="BF23" s="0" t="n">
        <f aca="false">(BF22+0)*Assumptions!$E$29</f>
        <v>0</v>
      </c>
      <c r="BG23" s="0" t="n">
        <f aca="false">(BG22+0)*Assumptions!$E$29</f>
        <v>0</v>
      </c>
      <c r="BH23" s="0" t="n">
        <f aca="false">(BH22+0)*Assumptions!$E$29</f>
        <v>0</v>
      </c>
      <c r="BI23" s="0" t="n">
        <f aca="false">(BI22+0)*Assumptions!$E$29</f>
        <v>0</v>
      </c>
      <c r="BJ23" s="0" t="n">
        <f aca="false">(BJ22+0)*Assumptions!$E$29</f>
        <v>0</v>
      </c>
      <c r="BK23" s="0" t="n">
        <f aca="false">(BK22+0)*Assumptions!$E$29</f>
        <v>1217884.69410154</v>
      </c>
    </row>
    <row r="24" customFormat="false" ht="25" hidden="false" customHeight="true" outlineLevel="0" collapsed="false">
      <c r="A24" s="1"/>
      <c r="B24" s="1" t="s">
        <v>66</v>
      </c>
      <c r="C24" s="3" t="n">
        <f aca="false">IF(C21&gt;0,C19+C10,0)</f>
        <v>0</v>
      </c>
      <c r="D24" s="3" t="n">
        <f aca="false">IF(D21&gt;0,D19+D10,0)</f>
        <v>0</v>
      </c>
      <c r="E24" s="3" t="n">
        <f aca="false">IF(E21&gt;0,E19+E10,0)</f>
        <v>0</v>
      </c>
      <c r="F24" s="3" t="n">
        <f aca="false">IF(F21&gt;0,F19+F10,0)</f>
        <v>0</v>
      </c>
      <c r="G24" s="3" t="n">
        <f aca="false">IF(G21&gt;0,G19+G10,0)</f>
        <v>0</v>
      </c>
      <c r="H24" s="3" t="n">
        <f aca="false">IF(H21&gt;0,H19+H10,0)</f>
        <v>0</v>
      </c>
      <c r="I24" s="3" t="n">
        <f aca="false">IF(I21&gt;0,I19+I10,0)</f>
        <v>0</v>
      </c>
      <c r="J24" s="3" t="n">
        <f aca="false">IF(J21&gt;0,J19+J10,0)</f>
        <v>0</v>
      </c>
      <c r="K24" s="3" t="n">
        <f aca="false">IF(K21&gt;0,K19+K10,0)</f>
        <v>0</v>
      </c>
      <c r="L24" s="0" t="n">
        <f aca="false">IF(L21&gt;0,L19+L10,0)</f>
        <v>0</v>
      </c>
      <c r="M24" s="0" t="n">
        <f aca="false">IF(M21&gt;0,M19+M10,0)</f>
        <v>0</v>
      </c>
      <c r="N24" s="0" t="n">
        <f aca="false">IF(N21&gt;0,N19+N10,0)</f>
        <v>0</v>
      </c>
      <c r="O24" s="0" t="n">
        <f aca="false">IF(O21&gt;0,O19+O10,0)</f>
        <v>0</v>
      </c>
      <c r="P24" s="0" t="n">
        <f aca="false">IF(P21&gt;0,P19+P10,0)</f>
        <v>0</v>
      </c>
      <c r="Q24" s="0" t="n">
        <f aca="false">IF(Q21&gt;0,Q19+Q10,0)</f>
        <v>0</v>
      </c>
      <c r="R24" s="0" t="n">
        <f aca="false">IF(R21&gt;0,R19+R10,0)</f>
        <v>0</v>
      </c>
      <c r="S24" s="0" t="n">
        <f aca="false">IF(S21&gt;0,S19+S10,0)</f>
        <v>0</v>
      </c>
      <c r="T24" s="0" t="n">
        <f aca="false">IF(T21&gt;0,T19+T10,0)</f>
        <v>0</v>
      </c>
      <c r="U24" s="0" t="n">
        <f aca="false">IF(U21&gt;0,U19+U10,0)</f>
        <v>0</v>
      </c>
      <c r="V24" s="0" t="n">
        <f aca="false">IF(V21&gt;0,V19+V10,0)</f>
        <v>0</v>
      </c>
      <c r="W24" s="0" t="n">
        <f aca="false">IF(W21&gt;0,W19+W10,0)</f>
        <v>0</v>
      </c>
      <c r="X24" s="0" t="n">
        <f aca="false">IF(X21&gt;0,X19+X10,0)</f>
        <v>0</v>
      </c>
      <c r="Y24" s="0" t="n">
        <f aca="false">IF(Y21&gt;0,Y19+Y10,0)</f>
        <v>0</v>
      </c>
      <c r="Z24" s="0" t="n">
        <f aca="false">IF(Z21&gt;0,Z19+Z10,0)</f>
        <v>0</v>
      </c>
      <c r="AA24" s="0" t="n">
        <f aca="false">IF(AA21&gt;0,AA19+AA10,0)</f>
        <v>0</v>
      </c>
      <c r="AB24" s="0" t="n">
        <f aca="false">IF(AB21&gt;0,AB19+AB10,0)</f>
        <v>0</v>
      </c>
      <c r="AC24" s="0" t="n">
        <f aca="false">IF(AC21&gt;0,AC19+AC10,0)</f>
        <v>0</v>
      </c>
      <c r="AD24" s="0" t="n">
        <f aca="false">IF(AD21&gt;0,AD19+AD10,0)</f>
        <v>0</v>
      </c>
      <c r="AE24" s="0" t="n">
        <f aca="false">IF(AE21&gt;0,AE19+AE10,0)</f>
        <v>0</v>
      </c>
      <c r="AF24" s="0" t="n">
        <f aca="false">IF(AF21&gt;0,AF19+AF10,0)</f>
        <v>0</v>
      </c>
      <c r="AG24" s="0" t="n">
        <f aca="false">IF(AG21&gt;0,AG19+AG10,0)</f>
        <v>0</v>
      </c>
      <c r="AH24" s="0" t="n">
        <f aca="false">IF(AH21&gt;0,AH19+AH10,0)</f>
        <v>0</v>
      </c>
      <c r="AI24" s="0" t="n">
        <f aca="false">IF(AI21&gt;0,AI19+AI10,0)</f>
        <v>0</v>
      </c>
      <c r="AJ24" s="0" t="n">
        <f aca="false">IF(AJ21&gt;0,AJ19+AJ10,0)</f>
        <v>0</v>
      </c>
      <c r="AK24" s="0" t="n">
        <f aca="false">IF(AK21&gt;0,AK19+AK10,0)</f>
        <v>0</v>
      </c>
      <c r="AL24" s="0" t="n">
        <f aca="false">IF(AL21&gt;0,AL19+AL10,0)</f>
        <v>0</v>
      </c>
      <c r="AM24" s="0" t="n">
        <f aca="false">IF(AM21&gt;0,AM19+AM10,0)</f>
        <v>0</v>
      </c>
      <c r="AN24" s="0" t="n">
        <f aca="false">IF(AN21&gt;0,AN19+AN10,0)</f>
        <v>0</v>
      </c>
      <c r="AO24" s="0" t="n">
        <f aca="false">IF(AO21&gt;0,AO19+AO10,0)</f>
        <v>0</v>
      </c>
      <c r="AP24" s="0" t="n">
        <f aca="false">IF(AP21&gt;0,AP19+AP10,0)</f>
        <v>0</v>
      </c>
      <c r="AQ24" s="0" t="n">
        <f aca="false">IF(AQ21&gt;0,AQ19+AQ10,0)</f>
        <v>0</v>
      </c>
      <c r="AR24" s="0" t="n">
        <f aca="false">IF(AR21&gt;0,AR19+AR10,0)</f>
        <v>0</v>
      </c>
      <c r="AS24" s="0" t="n">
        <f aca="false">IF(AS21&gt;0,AS19+AS10,0)</f>
        <v>9031750</v>
      </c>
      <c r="AT24" s="0" t="n">
        <f aca="false">IF(AT21&gt;0,AT19+AT10,0)</f>
        <v>0</v>
      </c>
      <c r="AU24" s="0" t="n">
        <f aca="false">IF(AU21&gt;0,AU19+AU10,0)</f>
        <v>0</v>
      </c>
      <c r="AV24" s="0" t="n">
        <f aca="false">IF(AV21&gt;0,AV19+AV10,0)</f>
        <v>0</v>
      </c>
      <c r="AW24" s="0" t="n">
        <f aca="false">IF(AW21&gt;0,AW19+AW10,0)</f>
        <v>0</v>
      </c>
      <c r="AX24" s="0" t="n">
        <f aca="false">IF(AX21&gt;0,AX19+AX10,0)</f>
        <v>0</v>
      </c>
      <c r="AY24" s="0" t="n">
        <f aca="false">IF(AY21&gt;0,AY19+AY10,0)</f>
        <v>0</v>
      </c>
      <c r="AZ24" s="0" t="n">
        <f aca="false">IF(AZ21&gt;0,AZ19+AZ10,0)</f>
        <v>0</v>
      </c>
      <c r="BA24" s="0" t="n">
        <f aca="false">IF(BA21&gt;0,BA19+BA10,0)</f>
        <v>0</v>
      </c>
      <c r="BB24" s="0" t="n">
        <f aca="false">IF(BB21&gt;0,BB19+BB10,0)</f>
        <v>0</v>
      </c>
      <c r="BC24" s="0" t="n">
        <f aca="false">IF(BC21&gt;0,BC19+BC10,0)</f>
        <v>0</v>
      </c>
      <c r="BD24" s="0" t="n">
        <f aca="false">IF(BD21&gt;0,BD19+BD10,0)</f>
        <v>0</v>
      </c>
      <c r="BE24" s="0" t="n">
        <f aca="false">IF(BE21&gt;0,BE19+BE10,0)</f>
        <v>0</v>
      </c>
      <c r="BF24" s="0" t="n">
        <f aca="false">IF(BF21&gt;0,BF19+BF10,0)</f>
        <v>0</v>
      </c>
      <c r="BG24" s="0" t="n">
        <f aca="false">IF(BG21&gt;0,BG19+BG10,0)</f>
        <v>0</v>
      </c>
      <c r="BH24" s="0" t="n">
        <f aca="false">IF(BH21&gt;0,BH19+BH10,0)</f>
        <v>0</v>
      </c>
      <c r="BI24" s="0" t="n">
        <f aca="false">IF(BI21&gt;0,BI19+BI10,0)</f>
        <v>0</v>
      </c>
      <c r="BJ24" s="0" t="n">
        <f aca="false">IF(BJ21&gt;0,BJ19+BJ10,0)</f>
        <v>0</v>
      </c>
      <c r="BK24" s="0" t="n">
        <f aca="false">IF(BK21&gt;0,BK19+BK10,0)</f>
        <v>0</v>
      </c>
    </row>
    <row r="25" customFormat="false" ht="25" hidden="false" customHeight="true" outlineLevel="0" collapsed="false">
      <c r="A25" s="1"/>
      <c r="B25" s="1" t="s">
        <v>67</v>
      </c>
      <c r="C25" s="3" t="n">
        <f aca="false">0</f>
        <v>0</v>
      </c>
      <c r="D25" s="3" t="n">
        <f aca="false">0</f>
        <v>0</v>
      </c>
      <c r="E25" s="3" t="n">
        <f aca="false">0</f>
        <v>0</v>
      </c>
      <c r="F25" s="3" t="n">
        <f aca="false">0</f>
        <v>0</v>
      </c>
      <c r="G25" s="3" t="n">
        <f aca="false">0</f>
        <v>0</v>
      </c>
      <c r="H25" s="3" t="n">
        <f aca="false">0</f>
        <v>0</v>
      </c>
      <c r="I25" s="3" t="n">
        <f aca="false">0</f>
        <v>0</v>
      </c>
      <c r="J25" s="3" t="n">
        <f aca="false">0</f>
        <v>0</v>
      </c>
      <c r="K25" s="3" t="n">
        <f aca="false">0</f>
        <v>0</v>
      </c>
      <c r="L25" s="0" t="n">
        <f aca="false">0</f>
        <v>0</v>
      </c>
      <c r="M25" s="0" t="n">
        <f aca="false">0</f>
        <v>0</v>
      </c>
      <c r="N25" s="0" t="n">
        <f aca="false">0</f>
        <v>0</v>
      </c>
      <c r="O25" s="0" t="n">
        <f aca="false">0</f>
        <v>0</v>
      </c>
      <c r="P25" s="0" t="n">
        <f aca="false">0</f>
        <v>0</v>
      </c>
      <c r="Q25" s="0" t="n">
        <f aca="false">0</f>
        <v>0</v>
      </c>
      <c r="R25" s="0" t="n">
        <f aca="false">0</f>
        <v>0</v>
      </c>
      <c r="S25" s="0" t="n">
        <f aca="false">0</f>
        <v>0</v>
      </c>
      <c r="T25" s="0" t="n">
        <f aca="false">0</f>
        <v>0</v>
      </c>
      <c r="U25" s="0" t="n">
        <f aca="false">0</f>
        <v>0</v>
      </c>
      <c r="V25" s="0" t="n">
        <f aca="false">0</f>
        <v>0</v>
      </c>
      <c r="W25" s="0" t="n">
        <f aca="false">0</f>
        <v>0</v>
      </c>
      <c r="X25" s="0" t="n">
        <f aca="false">0</f>
        <v>0</v>
      </c>
      <c r="Y25" s="0" t="n">
        <f aca="false">0</f>
        <v>0</v>
      </c>
      <c r="Z25" s="0" t="n">
        <f aca="false">0</f>
        <v>0</v>
      </c>
      <c r="AA25" s="0" t="n">
        <f aca="false">0</f>
        <v>0</v>
      </c>
      <c r="AB25" s="0" t="n">
        <f aca="false">0</f>
        <v>0</v>
      </c>
      <c r="AC25" s="0" t="n">
        <f aca="false">0</f>
        <v>0</v>
      </c>
      <c r="AD25" s="0" t="n">
        <f aca="false">0</f>
        <v>0</v>
      </c>
      <c r="AE25" s="0" t="n">
        <f aca="false">0</f>
        <v>0</v>
      </c>
      <c r="AF25" s="0" t="n">
        <f aca="false">0</f>
        <v>0</v>
      </c>
      <c r="AG25" s="0" t="n">
        <f aca="false">0</f>
        <v>0</v>
      </c>
      <c r="AH25" s="0" t="n">
        <f aca="false">0</f>
        <v>0</v>
      </c>
      <c r="AI25" s="0" t="n">
        <f aca="false">0</f>
        <v>0</v>
      </c>
      <c r="AJ25" s="0" t="n">
        <f aca="false">0</f>
        <v>0</v>
      </c>
      <c r="AK25" s="0" t="n">
        <f aca="false">0</f>
        <v>0</v>
      </c>
      <c r="AL25" s="0" t="n">
        <f aca="false">0</f>
        <v>0</v>
      </c>
      <c r="AM25" s="0" t="n">
        <f aca="false">0</f>
        <v>0</v>
      </c>
      <c r="AN25" s="0" t="n">
        <f aca="false">0</f>
        <v>0</v>
      </c>
      <c r="AO25" s="0" t="n">
        <f aca="false">0</f>
        <v>0</v>
      </c>
      <c r="AP25" s="0" t="n">
        <f aca="false">0</f>
        <v>0</v>
      </c>
      <c r="AQ25" s="0" t="n">
        <f aca="false">0</f>
        <v>0</v>
      </c>
      <c r="AR25" s="0" t="n">
        <f aca="false">0</f>
        <v>0</v>
      </c>
      <c r="AS25" s="0" t="n">
        <f aca="false">0</f>
        <v>0</v>
      </c>
      <c r="AT25" s="0" t="n">
        <f aca="false">0</f>
        <v>0</v>
      </c>
      <c r="AU25" s="0" t="n">
        <f aca="false">0</f>
        <v>0</v>
      </c>
      <c r="AV25" s="0" t="n">
        <f aca="false">0</f>
        <v>0</v>
      </c>
      <c r="AW25" s="0" t="n">
        <f aca="false">0</f>
        <v>0</v>
      </c>
      <c r="AX25" s="0" t="n">
        <f aca="false">0</f>
        <v>0</v>
      </c>
      <c r="AY25" s="0" t="n">
        <f aca="false">0</f>
        <v>0</v>
      </c>
      <c r="AZ25" s="0" t="n">
        <f aca="false">0</f>
        <v>0</v>
      </c>
      <c r="BA25" s="0" t="n">
        <f aca="false">0</f>
        <v>0</v>
      </c>
      <c r="BB25" s="0" t="n">
        <f aca="false">0</f>
        <v>0</v>
      </c>
      <c r="BC25" s="0" t="n">
        <f aca="false">0</f>
        <v>0</v>
      </c>
      <c r="BD25" s="0" t="n">
        <f aca="false">0</f>
        <v>0</v>
      </c>
      <c r="BE25" s="0" t="n">
        <f aca="false">0</f>
        <v>0</v>
      </c>
      <c r="BF25" s="0" t="n">
        <f aca="false">0</f>
        <v>0</v>
      </c>
      <c r="BG25" s="0" t="n">
        <f aca="false">0</f>
        <v>0</v>
      </c>
      <c r="BH25" s="0" t="n">
        <f aca="false">0</f>
        <v>0</v>
      </c>
      <c r="BI25" s="0" t="n">
        <f aca="false">0</f>
        <v>0</v>
      </c>
      <c r="BJ25" s="0" t="n">
        <f aca="false">0</f>
        <v>0</v>
      </c>
      <c r="BK25" s="0" t="n">
        <f aca="false">MAX(0,BK19+BK10-BK24+BK21)</f>
        <v>35208022.1757256</v>
      </c>
    </row>
    <row r="26" customFormat="false" ht="25" hidden="false" customHeight="true" outlineLevel="0" collapsed="false">
      <c r="A26" s="1"/>
      <c r="B26" s="1" t="s">
        <v>68</v>
      </c>
      <c r="C26" s="3" t="n">
        <f aca="false">0</f>
        <v>0</v>
      </c>
      <c r="D26" s="3" t="n">
        <f aca="false">0</f>
        <v>0</v>
      </c>
      <c r="E26" s="3" t="n">
        <f aca="false">0</f>
        <v>0</v>
      </c>
      <c r="F26" s="3" t="n">
        <f aca="false">0</f>
        <v>0</v>
      </c>
      <c r="G26" s="3" t="n">
        <f aca="false">0</f>
        <v>0</v>
      </c>
      <c r="H26" s="3" t="n">
        <f aca="false">0</f>
        <v>0</v>
      </c>
      <c r="I26" s="3" t="n">
        <f aca="false">0</f>
        <v>0</v>
      </c>
      <c r="J26" s="3" t="n">
        <f aca="false">0</f>
        <v>0</v>
      </c>
      <c r="K26" s="3" t="n">
        <f aca="false">0</f>
        <v>0</v>
      </c>
      <c r="L26" s="0" t="n">
        <f aca="false">0</f>
        <v>0</v>
      </c>
      <c r="M26" s="0" t="n">
        <f aca="false">0</f>
        <v>0</v>
      </c>
      <c r="N26" s="0" t="n">
        <f aca="false">0</f>
        <v>0</v>
      </c>
      <c r="O26" s="0" t="n">
        <f aca="false">0</f>
        <v>0</v>
      </c>
      <c r="P26" s="0" t="n">
        <f aca="false">0</f>
        <v>0</v>
      </c>
      <c r="Q26" s="0" t="n">
        <f aca="false">0</f>
        <v>0</v>
      </c>
      <c r="R26" s="0" t="n">
        <f aca="false">0</f>
        <v>0</v>
      </c>
      <c r="S26" s="0" t="n">
        <f aca="false">0</f>
        <v>0</v>
      </c>
      <c r="T26" s="0" t="n">
        <f aca="false">0</f>
        <v>0</v>
      </c>
      <c r="U26" s="0" t="n">
        <f aca="false">0</f>
        <v>0</v>
      </c>
      <c r="V26" s="0" t="n">
        <f aca="false">0</f>
        <v>0</v>
      </c>
      <c r="W26" s="0" t="n">
        <f aca="false">0</f>
        <v>0</v>
      </c>
      <c r="X26" s="0" t="n">
        <f aca="false">0</f>
        <v>0</v>
      </c>
      <c r="Y26" s="0" t="n">
        <f aca="false">0</f>
        <v>0</v>
      </c>
      <c r="Z26" s="0" t="n">
        <f aca="false">0</f>
        <v>0</v>
      </c>
      <c r="AA26" s="0" t="n">
        <f aca="false">0</f>
        <v>0</v>
      </c>
      <c r="AB26" s="0" t="n">
        <f aca="false">0</f>
        <v>0</v>
      </c>
      <c r="AC26" s="0" t="n">
        <f aca="false">0</f>
        <v>0</v>
      </c>
      <c r="AD26" s="0" t="n">
        <f aca="false">0</f>
        <v>0</v>
      </c>
      <c r="AE26" s="0" t="n">
        <f aca="false">0</f>
        <v>0</v>
      </c>
      <c r="AF26" s="0" t="n">
        <f aca="false">0</f>
        <v>0</v>
      </c>
      <c r="AG26" s="0" t="n">
        <f aca="false">0</f>
        <v>0</v>
      </c>
      <c r="AH26" s="0" t="n">
        <f aca="false">0</f>
        <v>0</v>
      </c>
      <c r="AI26" s="0" t="n">
        <f aca="false">0</f>
        <v>0</v>
      </c>
      <c r="AJ26" s="0" t="n">
        <f aca="false">0</f>
        <v>0</v>
      </c>
      <c r="AK26" s="0" t="n">
        <f aca="false">0</f>
        <v>0</v>
      </c>
      <c r="AL26" s="0" t="n">
        <f aca="false">0</f>
        <v>0</v>
      </c>
      <c r="AM26" s="0" t="n">
        <f aca="false">0</f>
        <v>0</v>
      </c>
      <c r="AN26" s="0" t="n">
        <f aca="false">0</f>
        <v>0</v>
      </c>
      <c r="AO26" s="0" t="n">
        <f aca="false">0</f>
        <v>0</v>
      </c>
      <c r="AP26" s="0" t="n">
        <f aca="false">0</f>
        <v>0</v>
      </c>
      <c r="AQ26" s="0" t="n">
        <f aca="false">0</f>
        <v>0</v>
      </c>
      <c r="AR26" s="0" t="n">
        <f aca="false">0</f>
        <v>0</v>
      </c>
      <c r="AS26" s="0" t="n">
        <f aca="false">0</f>
        <v>0</v>
      </c>
      <c r="AT26" s="0" t="n">
        <f aca="false">0</f>
        <v>0</v>
      </c>
      <c r="AU26" s="0" t="n">
        <f aca="false">0</f>
        <v>0</v>
      </c>
      <c r="AV26" s="0" t="n">
        <f aca="false">0</f>
        <v>0</v>
      </c>
      <c r="AW26" s="0" t="n">
        <f aca="false">0</f>
        <v>0</v>
      </c>
      <c r="AX26" s="0" t="n">
        <f aca="false">0</f>
        <v>0</v>
      </c>
      <c r="AY26" s="0" t="n">
        <f aca="false">0</f>
        <v>0</v>
      </c>
      <c r="AZ26" s="0" t="n">
        <f aca="false">0</f>
        <v>0</v>
      </c>
      <c r="BA26" s="0" t="n">
        <f aca="false">0</f>
        <v>0</v>
      </c>
      <c r="BB26" s="0" t="n">
        <f aca="false">0</f>
        <v>0</v>
      </c>
      <c r="BC26" s="0" t="n">
        <f aca="false">0</f>
        <v>0</v>
      </c>
      <c r="BD26" s="0" t="n">
        <f aca="false">0</f>
        <v>0</v>
      </c>
      <c r="BE26" s="0" t="n">
        <f aca="false">0</f>
        <v>0</v>
      </c>
      <c r="BF26" s="0" t="n">
        <f aca="false">0</f>
        <v>0</v>
      </c>
      <c r="BG26" s="0" t="n">
        <f aca="false">0</f>
        <v>0</v>
      </c>
      <c r="BH26" s="0" t="n">
        <f aca="false">0</f>
        <v>0</v>
      </c>
      <c r="BI26" s="0" t="n">
        <f aca="false">0</f>
        <v>0</v>
      </c>
      <c r="BJ26" s="0" t="n">
        <f aca="false">0</f>
        <v>0</v>
      </c>
      <c r="BK26" s="0" t="n">
        <f aca="false">MAX(0,BK19+BK10+BK21-BK24-BK25)</f>
        <v>0</v>
      </c>
    </row>
    <row r="27" customFormat="false" ht="25" hidden="false" customHeight="true" outlineLevel="0" collapsed="false">
      <c r="A27" s="1"/>
      <c r="B27" s="1" t="s">
        <v>69</v>
      </c>
      <c r="C27" s="3" t="n">
        <f aca="false">SUM(C19,C10,C21)-SUM(C24:C26)</f>
        <v>8268000</v>
      </c>
      <c r="D27" s="3" t="n">
        <f aca="false">SUM(D19,D10,D21)-SUM(D24:D26)</f>
        <v>8395291.66666667</v>
      </c>
      <c r="E27" s="3" t="n">
        <f aca="false">SUM(E19,E10,E21)-SUM(E24:E26)</f>
        <v>8522583.33333333</v>
      </c>
      <c r="F27" s="3" t="n">
        <f aca="false">SUM(F19,F10,F21)-SUM(F24:F26)</f>
        <v>8649875</v>
      </c>
      <c r="G27" s="3" t="n">
        <f aca="false">SUM(G19,G10,G21)-SUM(G24:G26)</f>
        <v>8777166.66666666</v>
      </c>
      <c r="H27" s="3" t="n">
        <f aca="false">SUM(H19,H10,H21)-SUM(H24:H26)</f>
        <v>8904458.33333333</v>
      </c>
      <c r="I27" s="3" t="n">
        <f aca="false">SUM(I19,I10,I21)-SUM(I24:I26)</f>
        <v>9031750</v>
      </c>
      <c r="J27" s="3" t="n">
        <f aca="false">SUM(J19,J10,J21)-SUM(J24:J26)</f>
        <v>9031750</v>
      </c>
      <c r="K27" s="3" t="n">
        <f aca="false">SUM(K19,K10,K21)-SUM(K24:K26)</f>
        <v>9031750</v>
      </c>
      <c r="L27" s="0" t="n">
        <f aca="false">SUM(L19,L10,L21)-SUM(L24:L26)</f>
        <v>9031750</v>
      </c>
      <c r="M27" s="0" t="n">
        <f aca="false">SUM(M19,M10,M21)-SUM(M24:M26)</f>
        <v>9031750</v>
      </c>
      <c r="N27" s="0" t="n">
        <f aca="false">SUM(N19,N10,N21)-SUM(N24:N26)</f>
        <v>9031750</v>
      </c>
      <c r="O27" s="0" t="n">
        <f aca="false">SUM(O19,O10,O21)-SUM(O24:O26)</f>
        <v>9031750</v>
      </c>
      <c r="P27" s="0" t="n">
        <f aca="false">SUM(P19,P10,P21)-SUM(P24:P26)</f>
        <v>9031750</v>
      </c>
      <c r="Q27" s="0" t="n">
        <f aca="false">SUM(Q19,Q10,Q21)-SUM(Q24:Q26)</f>
        <v>9031750</v>
      </c>
      <c r="R27" s="0" t="n">
        <f aca="false">SUM(R19,R10,R21)-SUM(R24:R26)</f>
        <v>9031750</v>
      </c>
      <c r="S27" s="0" t="n">
        <f aca="false">SUM(S19,S10,S21)-SUM(S24:S26)</f>
        <v>9031750</v>
      </c>
      <c r="T27" s="0" t="n">
        <f aca="false">SUM(T19,T10,T21)-SUM(T24:T26)</f>
        <v>9031750</v>
      </c>
      <c r="U27" s="0" t="n">
        <f aca="false">SUM(U19,U10,U21)-SUM(U24:U26)</f>
        <v>9031750</v>
      </c>
      <c r="V27" s="0" t="n">
        <f aca="false">SUM(V19,V10,V21)-SUM(V24:V26)</f>
        <v>9031750</v>
      </c>
      <c r="W27" s="0" t="n">
        <f aca="false">SUM(W19,W10,W21)-SUM(W24:W26)</f>
        <v>9031750</v>
      </c>
      <c r="X27" s="0" t="n">
        <f aca="false">SUM(X19,X10,X21)-SUM(X24:X26)</f>
        <v>9031750</v>
      </c>
      <c r="Y27" s="0" t="n">
        <f aca="false">SUM(Y19,Y10,Y21)-SUM(Y24:Y26)</f>
        <v>9031750</v>
      </c>
      <c r="Z27" s="0" t="n">
        <f aca="false">SUM(Z19,Z10,Z21)-SUM(Z24:Z26)</f>
        <v>9031750</v>
      </c>
      <c r="AA27" s="0" t="n">
        <f aca="false">SUM(AA19,AA10,AA21)-SUM(AA24:AA26)</f>
        <v>9031750</v>
      </c>
      <c r="AB27" s="0" t="n">
        <f aca="false">SUM(AB19,AB10,AB21)-SUM(AB24:AB26)</f>
        <v>9031750</v>
      </c>
      <c r="AC27" s="0" t="n">
        <f aca="false">SUM(AC19,AC10,AC21)-SUM(AC24:AC26)</f>
        <v>9031750</v>
      </c>
      <c r="AD27" s="0" t="n">
        <f aca="false">SUM(AD19,AD10,AD21)-SUM(AD24:AD26)</f>
        <v>9031750</v>
      </c>
      <c r="AE27" s="0" t="n">
        <f aca="false">SUM(AE19,AE10,AE21)-SUM(AE24:AE26)</f>
        <v>9031750</v>
      </c>
      <c r="AF27" s="0" t="n">
        <f aca="false">SUM(AF19,AF10,AF21)-SUM(AF24:AF26)</f>
        <v>9031750</v>
      </c>
      <c r="AG27" s="0" t="n">
        <f aca="false">SUM(AG19,AG10,AG21)-SUM(AG24:AG26)</f>
        <v>9031750</v>
      </c>
      <c r="AH27" s="0" t="n">
        <f aca="false">SUM(AH19,AH10,AH21)-SUM(AH24:AH26)</f>
        <v>9031750</v>
      </c>
      <c r="AI27" s="0" t="n">
        <f aca="false">SUM(AI19,AI10,AI21)-SUM(AI24:AI26)</f>
        <v>9031750</v>
      </c>
      <c r="AJ27" s="0" t="n">
        <f aca="false">SUM(AJ19,AJ10,AJ21)-SUM(AJ24:AJ26)</f>
        <v>9031750</v>
      </c>
      <c r="AK27" s="0" t="n">
        <f aca="false">SUM(AK19,AK10,AK21)-SUM(AK24:AK26)</f>
        <v>9031750</v>
      </c>
      <c r="AL27" s="0" t="n">
        <f aca="false">SUM(AL19,AL10,AL21)-SUM(AL24:AL26)</f>
        <v>9031750</v>
      </c>
      <c r="AM27" s="0" t="n">
        <f aca="false">SUM(AM19,AM10,AM21)-SUM(AM24:AM26)</f>
        <v>9031750</v>
      </c>
      <c r="AN27" s="0" t="n">
        <f aca="false">SUM(AN19,AN10,AN21)-SUM(AN24:AN26)</f>
        <v>9031750</v>
      </c>
      <c r="AO27" s="0" t="n">
        <f aca="false">SUM(AO19,AO10,AO21)-SUM(AO24:AO26)</f>
        <v>9031750</v>
      </c>
      <c r="AP27" s="0" t="n">
        <f aca="false">SUM(AP19,AP10,AP21)-SUM(AP24:AP26)</f>
        <v>9031750</v>
      </c>
      <c r="AQ27" s="0" t="n">
        <f aca="false">SUM(AQ19,AQ10,AQ21)-SUM(AQ24:AQ26)</f>
        <v>9031750</v>
      </c>
      <c r="AR27" s="0" t="n">
        <f aca="false">SUM(AR19,AR10,AR21)-SUM(AR24:AR26)</f>
        <v>9031750</v>
      </c>
      <c r="AS27" s="0" t="n">
        <f aca="false">SUM(AS19,AS10,AS21)-SUM(AS24:AS26)</f>
        <v>35208022.1757256</v>
      </c>
      <c r="AT27" s="0" t="n">
        <f aca="false">SUM(AT19,AT10,AT21)-SUM(AT24:AT26)</f>
        <v>35208022.1757256</v>
      </c>
      <c r="AU27" s="0" t="n">
        <f aca="false">SUM(AU19,AU10,AU21)-SUM(AU24:AU26)</f>
        <v>35208022.1757256</v>
      </c>
      <c r="AV27" s="0" t="n">
        <f aca="false">SUM(AV19,AV10,AV21)-SUM(AV24:AV26)</f>
        <v>35208022.1757256</v>
      </c>
      <c r="AW27" s="0" t="n">
        <f aca="false">SUM(AW19,AW10,AW21)-SUM(AW24:AW26)</f>
        <v>35208022.1757256</v>
      </c>
      <c r="AX27" s="0" t="n">
        <f aca="false">SUM(AX19,AX10,AX21)-SUM(AX24:AX26)</f>
        <v>35208022.1757256</v>
      </c>
      <c r="AY27" s="0" t="n">
        <f aca="false">SUM(AY19,AY10,AY21)-SUM(AY24:AY26)</f>
        <v>35208022.1757256</v>
      </c>
      <c r="AZ27" s="0" t="n">
        <f aca="false">SUM(AZ19,AZ10,AZ21)-SUM(AZ24:AZ26)</f>
        <v>35208022.1757256</v>
      </c>
      <c r="BA27" s="0" t="n">
        <f aca="false">SUM(BA19,BA10,BA21)-SUM(BA24:BA26)</f>
        <v>35208022.1757256</v>
      </c>
      <c r="BB27" s="0" t="n">
        <f aca="false">SUM(BB19,BB10,BB21)-SUM(BB24:BB26)</f>
        <v>35208022.1757256</v>
      </c>
      <c r="BC27" s="0" t="n">
        <f aca="false">SUM(BC19,BC10,BC21)-SUM(BC24:BC26)</f>
        <v>35208022.1757256</v>
      </c>
      <c r="BD27" s="0" t="n">
        <f aca="false">SUM(BD19,BD10,BD21)-SUM(BD24:BD26)</f>
        <v>35208022.1757256</v>
      </c>
      <c r="BE27" s="0" t="n">
        <f aca="false">SUM(BE19,BE10,BE21)-SUM(BE24:BE26)</f>
        <v>35208022.1757256</v>
      </c>
      <c r="BF27" s="0" t="n">
        <f aca="false">SUM(BF19,BF10,BF21)-SUM(BF24:BF26)</f>
        <v>35208022.1757256</v>
      </c>
      <c r="BG27" s="0" t="n">
        <f aca="false">SUM(BG19,BG10,BG21)-SUM(BG24:BG26)</f>
        <v>35208022.1757256</v>
      </c>
      <c r="BH27" s="0" t="n">
        <f aca="false">SUM(BH19,BH10,BH21)-SUM(BH24:BH26)</f>
        <v>35208022.1757256</v>
      </c>
      <c r="BI27" s="0" t="n">
        <f aca="false">SUM(BI19,BI10,BI21)-SUM(BI24:BI26)</f>
        <v>35208022.1757256</v>
      </c>
      <c r="BJ27" s="0" t="n">
        <f aca="false">SUM(BJ19,BJ10,BJ21)-SUM(BJ24:BJ26)</f>
        <v>35208022.1757256</v>
      </c>
      <c r="BK27" s="0" t="n">
        <f aca="false">SUM(BK19,BK10,BK21)-SUM(BK24:BK26)</f>
        <v>0</v>
      </c>
    </row>
    <row r="28" customFormat="false" ht="25" hidden="false" customHeight="true" outlineLevel="0" collapsed="false">
      <c r="A28" s="1"/>
      <c r="B28" s="1" t="s">
        <v>70</v>
      </c>
      <c r="C28" s="3" t="n">
        <f aca="false">SUM(C16,C10,C21,C22)-SUM(C9,C17,C20,C23:C26)</f>
        <v>-4452000</v>
      </c>
      <c r="D28" s="3" t="n">
        <f aca="false">SUM(D16,D10,D21,D22)-SUM(D9,D17,D20,D23:D26)</f>
        <v>84662.3611111111</v>
      </c>
      <c r="E28" s="3" t="n">
        <f aca="false">SUM(E16,E10,E21,E22)-SUM(E9,E17,E20,E23:E26)</f>
        <v>84381.3996887588</v>
      </c>
      <c r="F28" s="3" t="n">
        <f aca="false">SUM(F16,F10,F21,F22)-SUM(F9,F17,F20,F23:F26)</f>
        <v>84101.2797818343</v>
      </c>
      <c r="G28" s="3" t="n">
        <f aca="false">SUM(G16,G10,G21,G22)-SUM(G9,G17,G20,G23:G26)</f>
        <v>136647.213968971</v>
      </c>
      <c r="H28" s="3" t="n">
        <f aca="false">SUM(H16,H10,H21,H22)-SUM(H9,H17,H20,H23:H26)</f>
        <v>136477.593581885</v>
      </c>
      <c r="I28" s="3" t="n">
        <f aca="false">SUM(I16,I10,I21,I22)-SUM(I9,I17,I20,I23:I26)</f>
        <v>136309.04405453</v>
      </c>
      <c r="J28" s="3" t="n">
        <f aca="false">SUM(J16,J10,J21,J22)-SUM(J9,J17,J20,J23:J26)</f>
        <v>-27759.482359173</v>
      </c>
      <c r="K28" s="3" t="n">
        <f aca="false">SUM(K16,K10,K21,K22)-SUM(K9,K17,K20,K23:K26)</f>
        <v>-6509.80299471043</v>
      </c>
      <c r="L28" s="0" t="n">
        <f aca="false">SUM(L16,L10,L21,L22)-SUM(L9,L17,L20,L23:L26)</f>
        <v>14827.3282994106</v>
      </c>
      <c r="M28" s="0" t="n">
        <f aca="false">SUM(M16,M10,M21,M22)-SUM(M9,M17,M20,M23:M26)</f>
        <v>30309.7983239048</v>
      </c>
      <c r="N28" s="0" t="n">
        <f aca="false">SUM(N16,N10,N21,N22)-SUM(N9,N17,N20,N23:N26)</f>
        <v>50321.7483077968</v>
      </c>
      <c r="O28" s="0" t="n">
        <f aca="false">SUM(O16,O10,O21,O22)-SUM(O9,O17,O20,O23:O26)</f>
        <v>70415.804797977</v>
      </c>
      <c r="P28" s="0" t="n">
        <f aca="false">SUM(P16,P10,P21,P22)-SUM(P9,P17,P20,P23:P26)</f>
        <v>69665.0910915799</v>
      </c>
      <c r="Q28" s="0" t="n">
        <f aca="false">SUM(Q16,Q10,Q21,Q22)-SUM(Q9,Q17,Q20,Q23:Q26)</f>
        <v>86885.2667838463</v>
      </c>
      <c r="R28" s="0" t="n">
        <f aca="false">SUM(R16,R10,R21,R22)-SUM(R9,R17,R20,R23:R26)</f>
        <v>104175.880804941</v>
      </c>
      <c r="S28" s="0" t="n">
        <f aca="false">SUM(S16,S10,S21,S22)-SUM(S9,S17,S20,S23:S26)</f>
        <v>166658.684537443</v>
      </c>
      <c r="T28" s="0" t="n">
        <f aca="false">SUM(T16,T10,T21,T22)-SUM(T9,T17,T20,T23:T26)</f>
        <v>188705.217865046</v>
      </c>
      <c r="U28" s="0" t="n">
        <f aca="false">SUM(U16,U10,U21,U22)-SUM(U9,U17,U20,U23:U26)</f>
        <v>210841.660997907</v>
      </c>
      <c r="V28" s="0" t="n">
        <f aca="false">SUM(V16,V10,V21,V22)-SUM(V9,V17,V20,V23:V26)</f>
        <v>211376.731565505</v>
      </c>
      <c r="W28" s="0" t="n">
        <f aca="false">SUM(W16,W10,W21,W22)-SUM(W9,W17,W20,W23:W26)</f>
        <v>211912.904290864</v>
      </c>
      <c r="X28" s="0" t="n">
        <f aca="false">SUM(X16,X10,X21,X22)-SUM(X9,X17,X20,X23:X26)</f>
        <v>212450.18144425</v>
      </c>
      <c r="Y28" s="0" t="n">
        <f aca="false">SUM(Y16,Y10,Y21,Y22)-SUM(Y9,Y17,Y20,Y23:Y26)</f>
        <v>194715.736616841</v>
      </c>
      <c r="Z28" s="0" t="n">
        <f aca="false">SUM(Z16,Z10,Z21,Z22)-SUM(Z9,Z17,Z20,Z23:Z26)</f>
        <v>195217.590420513</v>
      </c>
      <c r="AA28" s="0" t="n">
        <f aca="false">SUM(AA16,AA10,AA21,AA22)-SUM(AA9,AA17,AA20,AA23:AA26)</f>
        <v>195720.477960853</v>
      </c>
      <c r="AB28" s="0" t="n">
        <f aca="false">SUM(AB16,AB10,AB21,AB22)-SUM(AB9,AB17,AB20,AB23:AB26)</f>
        <v>159452.444287109</v>
      </c>
      <c r="AC28" s="0" t="n">
        <f aca="false">SUM(AC16,AC10,AC21,AC22)-SUM(AC9,AC17,AC20,AC23:AC26)</f>
        <v>159881.661482247</v>
      </c>
      <c r="AD28" s="0" t="n">
        <f aca="false">SUM(AD16,AD10,AD21,AD22)-SUM(AD9,AD17,AD20,AD23:AD26)</f>
        <v>160311.762794531</v>
      </c>
      <c r="AE28" s="0" t="n">
        <f aca="false">SUM(AE16,AE10,AE21,AE22)-SUM(AE9,AE17,AE20,AE23:AE26)</f>
        <v>216242.237189388</v>
      </c>
      <c r="AF28" s="0" t="n">
        <f aca="false">SUM(AF16,AF10,AF21,AF22)-SUM(AF9,AF17,AF20,AF23:AF26)</f>
        <v>216788.432059703</v>
      </c>
      <c r="AG28" s="0" t="n">
        <f aca="false">SUM(AG16,AG10,AG21,AG22)-SUM(AG9,AG17,AG20,AG23:AG26)</f>
        <v>217335.752002022</v>
      </c>
      <c r="AH28" s="0" t="n">
        <f aca="false">SUM(AH16,AH10,AH21,AH22)-SUM(AH9,AH17,AH20,AH23:AH26)</f>
        <v>217884.199333809</v>
      </c>
      <c r="AI28" s="0" t="n">
        <f aca="false">SUM(AI16,AI10,AI21,AI22)-SUM(AI9,AI17,AI20,AI23:AI26)</f>
        <v>218433.776377302</v>
      </c>
      <c r="AJ28" s="0" t="n">
        <f aca="false">SUM(AJ16,AJ10,AJ21,AJ22)-SUM(AJ9,AJ17,AJ20,AJ23:AJ26)</f>
        <v>218984.485459523</v>
      </c>
      <c r="AK28" s="0" t="n">
        <f aca="false">SUM(AK16,AK10,AK21,AK22)-SUM(AK9,AK17,AK20,AK23:AK26)</f>
        <v>200806.679511428</v>
      </c>
      <c r="AL28" s="0" t="n">
        <f aca="false">SUM(AL16,AL10,AL21,AL22)-SUM(AL9,AL17,AL20,AL23:AL26)</f>
        <v>201321.079660193</v>
      </c>
      <c r="AM28" s="0" t="n">
        <f aca="false">SUM(AM16,AM10,AM21,AM22)-SUM(AM9,AM17,AM20,AM23:AM26)</f>
        <v>201836.539389041</v>
      </c>
      <c r="AN28" s="0" t="n">
        <f aca="false">SUM(AN16,AN10,AN21,AN22)-SUM(AN9,AN17,AN20,AN23:AN26)</f>
        <v>164661.804873454</v>
      </c>
      <c r="AO28" s="0" t="n">
        <f aca="false">SUM(AO16,AO10,AO21,AO22)-SUM(AO9,AO17,AO20,AO23:AO26)</f>
        <v>165101.75249847</v>
      </c>
      <c r="AP28" s="0" t="n">
        <f aca="false">SUM(AP16,AP10,AP21,AP22)-SUM(AP9,AP17,AP20,AP23:AP26)</f>
        <v>165542.606343561</v>
      </c>
      <c r="AQ28" s="0" t="n">
        <f aca="false">SUM(AQ16,AQ10,AQ21,AQ22)-SUM(AQ9,AQ17,AQ20,AQ23:AQ26)</f>
        <v>222871.342598289</v>
      </c>
      <c r="AR28" s="0" t="n">
        <f aca="false">SUM(AR16,AR10,AR21,AR22)-SUM(AR9,AR17,AR20,AR23:AR26)</f>
        <v>223431.192340362</v>
      </c>
      <c r="AS28" s="0" t="n">
        <f aca="false">SUM(AS16,AS10,AS21,AS22)-SUM(AS9,AS17,AS20,AS23:AS26)</f>
        <v>26400264.3710068</v>
      </c>
      <c r="AT28" s="0" t="n">
        <f aca="false">SUM(AT16,AT10,AT21,AT22)-SUM(AT9,AT17,AT20,AT23:AT26)</f>
        <v>112106.231324245</v>
      </c>
      <c r="AU28" s="0" t="n">
        <f aca="false">SUM(AU16,AU10,AU21,AU22)-SUM(AU9,AU17,AU20,AU23:AU26)</f>
        <v>112669.547793826</v>
      </c>
      <c r="AV28" s="0" t="n">
        <f aca="false">SUM(AV16,AV10,AV21,AV22)-SUM(AV9,AV17,AV20,AV23:AV26)</f>
        <v>113234.024603102</v>
      </c>
      <c r="AW28" s="0" t="n">
        <f aca="false">SUM(AW16,AW10,AW21,AW22)-SUM(AW9,AW17,AW20,AW23:AW26)</f>
        <v>94601.7735063052</v>
      </c>
      <c r="AX28" s="0" t="n">
        <f aca="false">SUM(AX16,AX10,AX21,AX22)-SUM(AX9,AX17,AX20,AX23:AX26)</f>
        <v>95129.0336587886</v>
      </c>
      <c r="AY28" s="0" t="n">
        <f aca="false">SUM(AY16,AY10,AY21,AY22)-SUM(AY9,AY17,AY20,AY23:AY26)</f>
        <v>95657.3798808578</v>
      </c>
      <c r="AZ28" s="0" t="n">
        <f aca="false">SUM(AZ16,AZ10,AZ21,AZ22)-SUM(AZ9,AZ17,AZ20,AZ23:AZ26)</f>
        <v>57553.2770023811</v>
      </c>
      <c r="BA28" s="0" t="n">
        <f aca="false">SUM(BA16,BA10,BA21,BA22)-SUM(BA9,BA17,BA20,BA23:BA26)</f>
        <v>58004.2233180227</v>
      </c>
      <c r="BB28" s="0" t="n">
        <f aca="false">SUM(BB16,BB10,BB21,BB22)-SUM(BB9,BB17,BB20,BB23:BB26)</f>
        <v>58456.0985092409</v>
      </c>
      <c r="BC28" s="0" t="n">
        <f aca="false">SUM(BC16,BC10,BC21,BC22)-SUM(BC9,BC17,BC20,BC23:BC26)</f>
        <v>117218.053170338</v>
      </c>
      <c r="BD28" s="0" t="n">
        <f aca="false">SUM(BD16,BD10,BD21,BD22)-SUM(BD9,BD17,BD20,BD23:BD26)</f>
        <v>117791.899155962</v>
      </c>
      <c r="BE28" s="0" t="n">
        <f aca="false">SUM(BE16,BE10,BE21,BE22)-SUM(BE9,BE17,BE20,BE23:BE26)</f>
        <v>118366.927170361</v>
      </c>
      <c r="BF28" s="0" t="n">
        <f aca="false">SUM(BF16,BF10,BF21,BF22)-SUM(BF9,BF17,BF20,BF23:BF26)</f>
        <v>118943.13964832</v>
      </c>
      <c r="BG28" s="0" t="n">
        <f aca="false">SUM(BG16,BG10,BG21,BG22)-SUM(BG9,BG17,BG20,BG23:BG26)</f>
        <v>119520.53902964</v>
      </c>
      <c r="BH28" s="0" t="n">
        <f aca="false">SUM(BH16,BH10,BH21,BH22)-SUM(BH9,BH17,BH20,BH23:BH26)</f>
        <v>120099.127759148</v>
      </c>
      <c r="BI28" s="0" t="n">
        <f aca="false">SUM(BI16,BI10,BI21,BI22)-SUM(BI9,BI17,BI20,BI23:BI26)</f>
        <v>101001.070384931</v>
      </c>
      <c r="BJ28" s="0" t="n">
        <f aca="false">SUM(BJ16,BJ10,BJ21,BJ22)-SUM(BJ9,BJ17,BJ20,BJ23:BJ26)</f>
        <v>101541.512041227</v>
      </c>
      <c r="BK28" s="0" t="n">
        <f aca="false">SUM(BK16,BK10,BK21,BK22)-SUM(BK9,BK17,BK20,BK23:BK26)</f>
        <v>24570410.9021688</v>
      </c>
    </row>
    <row r="29" customFormat="false" ht="25" hidden="false" customHeight="true" outlineLevel="0" collapsed="false">
      <c r="A29" s="1"/>
      <c r="B29" s="1" t="s">
        <v>71</v>
      </c>
      <c r="C29" s="3" t="n">
        <f aca="false">SUM(C16,C22)-SUM(C9,C17,C23)</f>
        <v>-12720000</v>
      </c>
      <c r="D29" s="3" t="n">
        <f aca="false">SUM(D16,D22)-SUM(D9,D17,D23)</f>
        <v>2500.44270833331</v>
      </c>
      <c r="E29" s="3" t="n">
        <f aca="false">SUM(E16,E22)-SUM(E9,E17,E23)</f>
        <v>2908.97781375883</v>
      </c>
      <c r="F29" s="3" t="n">
        <f aca="false">SUM(F16,F22)-SUM(F9,F17,F23)</f>
        <v>3318.35443461203</v>
      </c>
      <c r="G29" s="3" t="n">
        <f aca="false">SUM(G16,G22)-SUM(G9,G17,G23)</f>
        <v>56553.7851495266</v>
      </c>
      <c r="H29" s="3" t="n">
        <f aca="false">SUM(H16,H22)-SUM(H9,H17,H23)</f>
        <v>57073.6612902187</v>
      </c>
      <c r="I29" s="3" t="n">
        <f aca="false">SUM(I16,I22)-SUM(I9,I17,I23)</f>
        <v>57594.6082906413</v>
      </c>
      <c r="J29" s="3" t="n">
        <f aca="false">SUM(J16,J22)-SUM(J9,J17,J23)</f>
        <v>21162.4968074936</v>
      </c>
      <c r="K29" s="3" t="n">
        <f aca="false">SUM(K16,K22)-SUM(K9,K17,K23)</f>
        <v>42412.1761719562</v>
      </c>
      <c r="L29" s="0" t="n">
        <f aca="false">SUM(L16,L22)-SUM(L9,L17,L23)</f>
        <v>63749.3074660773</v>
      </c>
      <c r="M29" s="0" t="n">
        <f aca="false">SUM(M16,M22)-SUM(M9,M17,M23)</f>
        <v>79231.7774905715</v>
      </c>
      <c r="N29" s="0" t="n">
        <f aca="false">SUM(N16,N22)-SUM(N9,N17,N23)</f>
        <v>99243.7274744634</v>
      </c>
      <c r="O29" s="0" t="n">
        <f aca="false">SUM(O16,O22)-SUM(O9,O17,O23)</f>
        <v>119337.783964644</v>
      </c>
      <c r="P29" s="0" t="n">
        <f aca="false">SUM(P16,P22)-SUM(P9,P17,P23)</f>
        <v>118587.070258247</v>
      </c>
      <c r="Q29" s="0" t="n">
        <f aca="false">SUM(Q16,Q22)-SUM(Q9,Q17,Q23)</f>
        <v>135807.245950513</v>
      </c>
      <c r="R29" s="0" t="n">
        <f aca="false">SUM(R16,R22)-SUM(R9,R17,R23)</f>
        <v>153097.859971608</v>
      </c>
      <c r="S29" s="0" t="n">
        <f aca="false">SUM(S16,S22)-SUM(S9,S17,S23)</f>
        <v>215580.66370411</v>
      </c>
      <c r="T29" s="0" t="n">
        <f aca="false">SUM(T16,T22)-SUM(T9,T17,T23)</f>
        <v>237627.197031712</v>
      </c>
      <c r="U29" s="0" t="n">
        <f aca="false">SUM(U16,U22)-SUM(U9,U17,U23)</f>
        <v>259763.640164574</v>
      </c>
      <c r="V29" s="0" t="n">
        <f aca="false">SUM(V16,V22)-SUM(V9,V17,V23)</f>
        <v>260298.710732171</v>
      </c>
      <c r="W29" s="0" t="n">
        <f aca="false">SUM(W16,W22)-SUM(W9,W17,W23)</f>
        <v>260834.883457531</v>
      </c>
      <c r="X29" s="0" t="n">
        <f aca="false">SUM(X16,X22)-SUM(X9,X17,X23)</f>
        <v>261372.160610917</v>
      </c>
      <c r="Y29" s="0" t="n">
        <f aca="false">SUM(Y16,Y22)-SUM(Y9,Y17,Y23)</f>
        <v>243637.715783507</v>
      </c>
      <c r="Z29" s="0" t="n">
        <f aca="false">SUM(Z16,Z22)-SUM(Z9,Z17,Z23)</f>
        <v>244139.56958718</v>
      </c>
      <c r="AA29" s="0" t="n">
        <f aca="false">SUM(AA16,AA22)-SUM(AA9,AA17,AA23)</f>
        <v>244642.457127519</v>
      </c>
      <c r="AB29" s="0" t="n">
        <f aca="false">SUM(AB16,AB22)-SUM(AB9,AB17,AB23)</f>
        <v>208374.423453776</v>
      </c>
      <c r="AC29" s="0" t="n">
        <f aca="false">SUM(AC16,AC22)-SUM(AC9,AC17,AC23)</f>
        <v>208803.640648914</v>
      </c>
      <c r="AD29" s="0" t="n">
        <f aca="false">SUM(AD16,AD22)-SUM(AD9,AD17,AD23)</f>
        <v>209233.741961198</v>
      </c>
      <c r="AE29" s="0" t="n">
        <f aca="false">SUM(AE16,AE22)-SUM(AE9,AE17,AE23)</f>
        <v>265164.216356055</v>
      </c>
      <c r="AF29" s="0" t="n">
        <f aca="false">SUM(AF16,AF22)-SUM(AF9,AF17,AF23)</f>
        <v>265710.411226369</v>
      </c>
      <c r="AG29" s="0" t="n">
        <f aca="false">SUM(AG16,AG22)-SUM(AG9,AG17,AG23)</f>
        <v>266257.731168688</v>
      </c>
      <c r="AH29" s="0" t="n">
        <f aca="false">SUM(AH16,AH22)-SUM(AH9,AH17,AH23)</f>
        <v>266806.178500476</v>
      </c>
      <c r="AI29" s="0" t="n">
        <f aca="false">SUM(AI16,AI22)-SUM(AI9,AI17,AI23)</f>
        <v>267355.755543969</v>
      </c>
      <c r="AJ29" s="0" t="n">
        <f aca="false">SUM(AJ16,AJ22)-SUM(AJ9,AJ17,AJ23)</f>
        <v>267906.46462619</v>
      </c>
      <c r="AK29" s="0" t="n">
        <f aca="false">SUM(AK16,AK22)-SUM(AK9,AK17,AK23)</f>
        <v>249728.658678095</v>
      </c>
      <c r="AL29" s="0" t="n">
        <f aca="false">SUM(AL16,AL22)-SUM(AL9,AL17,AL23)</f>
        <v>250243.058826859</v>
      </c>
      <c r="AM29" s="0" t="n">
        <f aca="false">SUM(AM16,AM22)-SUM(AM9,AM17,AM23)</f>
        <v>250758.518555707</v>
      </c>
      <c r="AN29" s="0" t="n">
        <f aca="false">SUM(AN16,AN22)-SUM(AN9,AN17,AN23)</f>
        <v>213583.78404012</v>
      </c>
      <c r="AO29" s="0" t="n">
        <f aca="false">SUM(AO16,AO22)-SUM(AO9,AO17,AO23)</f>
        <v>214023.731665137</v>
      </c>
      <c r="AP29" s="0" t="n">
        <f aca="false">SUM(AP16,AP22)-SUM(AP9,AP17,AP23)</f>
        <v>214464.585510227</v>
      </c>
      <c r="AQ29" s="0" t="n">
        <f aca="false">SUM(AQ16,AQ22)-SUM(AQ9,AQ17,AQ23)</f>
        <v>271793.321764956</v>
      </c>
      <c r="AR29" s="0" t="n">
        <f aca="false">SUM(AR16,AR22)-SUM(AR9,AR17,AR23)</f>
        <v>272353.171507029</v>
      </c>
      <c r="AS29" s="0" t="n">
        <f aca="false">SUM(AS16,AS22)-SUM(AS9,AS17,AS23)</f>
        <v>272914.174447905</v>
      </c>
      <c r="AT29" s="0" t="n">
        <f aca="false">SUM(AT16,AT22)-SUM(AT9,AT17,AT23)</f>
        <v>273476.332962987</v>
      </c>
      <c r="AU29" s="0" t="n">
        <f aca="false">SUM(AU16,AU22)-SUM(AU9,AU17,AU23)</f>
        <v>274039.649432568</v>
      </c>
      <c r="AV29" s="0" t="n">
        <f aca="false">SUM(AV16,AV22)-SUM(AV9,AV17,AV23)</f>
        <v>274604.126241845</v>
      </c>
      <c r="AW29" s="0" t="n">
        <f aca="false">SUM(AW16,AW22)-SUM(AW9,AW17,AW23)</f>
        <v>255971.875145047</v>
      </c>
      <c r="AX29" s="0" t="n">
        <f aca="false">SUM(AX16,AX22)-SUM(AX9,AX17,AX23)</f>
        <v>256499.135297531</v>
      </c>
      <c r="AY29" s="0" t="n">
        <f aca="false">SUM(AY16,AY22)-SUM(AY9,AY17,AY23)</f>
        <v>257027.4815196</v>
      </c>
      <c r="AZ29" s="0" t="n">
        <f aca="false">SUM(AZ16,AZ22)-SUM(AZ9,AZ17,AZ23)</f>
        <v>218923.378641123</v>
      </c>
      <c r="BA29" s="0" t="n">
        <f aca="false">SUM(BA16,BA22)-SUM(BA9,BA17,BA23)</f>
        <v>219374.324956765</v>
      </c>
      <c r="BB29" s="0" t="n">
        <f aca="false">SUM(BB16,BB22)-SUM(BB9,BB17,BB23)</f>
        <v>219826.200147983</v>
      </c>
      <c r="BC29" s="0" t="n">
        <f aca="false">SUM(BC16,BC22)-SUM(BC9,BC17,BC23)</f>
        <v>278588.15480908</v>
      </c>
      <c r="BD29" s="0" t="n">
        <f aca="false">SUM(BD16,BD22)-SUM(BD9,BD17,BD23)</f>
        <v>279162.000794704</v>
      </c>
      <c r="BE29" s="0" t="n">
        <f aca="false">SUM(BE16,BE22)-SUM(BE9,BE17,BE23)</f>
        <v>279737.028809103</v>
      </c>
      <c r="BF29" s="0" t="n">
        <f aca="false">SUM(BF16,BF22)-SUM(BF9,BF17,BF23)</f>
        <v>280313.241287062</v>
      </c>
      <c r="BG29" s="0" t="n">
        <f aca="false">SUM(BG16,BG22)-SUM(BG9,BG17,BG23)</f>
        <v>280890.640668382</v>
      </c>
      <c r="BH29" s="0" t="n">
        <f aca="false">SUM(BH16,BH22)-SUM(BH9,BH17,BH23)</f>
        <v>281469.229397891</v>
      </c>
      <c r="BI29" s="0" t="n">
        <f aca="false">SUM(BI16,BI22)-SUM(BI9,BI17,BI23)</f>
        <v>262371.172023674</v>
      </c>
      <c r="BJ29" s="0" t="n">
        <f aca="false">SUM(BJ16,BJ22)-SUM(BJ9,BJ17,BJ23)</f>
        <v>262911.613679969</v>
      </c>
      <c r="BK29" s="0" t="n">
        <f aca="false">SUM(BK16,BK22)-SUM(BK9,BK17,BK23)</f>
        <v>59939803.1795331</v>
      </c>
    </row>
    <row r="30" customFormat="false" ht="25" hidden="false" customHeight="true" outlineLevel="0" collapsed="false">
      <c r="A30" s="1"/>
      <c r="B30" s="1" t="s">
        <v>72</v>
      </c>
      <c r="C30" s="3" t="n">
        <f aca="false">C28/(1+Assumptions!$E$30)^(C$6/12)</f>
        <v>-4452000</v>
      </c>
      <c r="D30" s="3" t="n">
        <f aca="false">D28/(1+Assumptions!$E$30)^(D$6/12)</f>
        <v>83866.5686074609</v>
      </c>
      <c r="E30" s="3" t="n">
        <f aca="false">E28/(1+Assumptions!$E$30)^(E$6/12)</f>
        <v>82802.5518417903</v>
      </c>
      <c r="F30" s="3" t="n">
        <f aca="false">F28/(1+Assumptions!$E$30)^(F$6/12)</f>
        <v>81751.9459299446</v>
      </c>
      <c r="G30" s="3" t="n">
        <f aca="false">G28/(1+Assumptions!$E$30)^(G$6/12)</f>
        <v>131581.482124608</v>
      </c>
      <c r="H30" s="3" t="n">
        <f aca="false">H28/(1+Assumptions!$E$30)^(H$6/12)</f>
        <v>130182.871526347</v>
      </c>
      <c r="I30" s="3" t="n">
        <f aca="false">I28/(1+Assumptions!$E$30)^(I$6/12)</f>
        <v>128799.940006155</v>
      </c>
      <c r="J30" s="3" t="n">
        <f aca="false">J28/(1+Assumptions!$E$30)^(J$6/12)</f>
        <v>-25983.691434536</v>
      </c>
      <c r="K30" s="3" t="n">
        <f aca="false">K28/(1+Assumptions!$E$30)^(K$6/12)</f>
        <v>-6036.0917239726</v>
      </c>
      <c r="L30" s="0" t="n">
        <f aca="false">L28/(1+Assumptions!$E$30)^(L$6/12)</f>
        <v>13619.1306643377</v>
      </c>
      <c r="M30" s="0" t="n">
        <f aca="false">M28/(1+Assumptions!$E$30)^(M$6/12)</f>
        <v>27578.3340476656</v>
      </c>
      <c r="N30" s="0" t="n">
        <f aca="false">N28/(1+Assumptions!$E$30)^(N$6/12)</f>
        <v>45356.4651407104</v>
      </c>
      <c r="O30" s="0" t="n">
        <f aca="false">O28/(1+Assumptions!$E$30)^(O$6/12)</f>
        <v>62871.254283908</v>
      </c>
      <c r="P30" s="0" t="n">
        <f aca="false">P28/(1+Assumptions!$E$30)^(P$6/12)</f>
        <v>61616.3097839773</v>
      </c>
      <c r="Q30" s="0" t="n">
        <f aca="false">Q28/(1+Assumptions!$E$30)^(Q$6/12)</f>
        <v>76124.6155814711</v>
      </c>
      <c r="R30" s="0" t="n">
        <f aca="false">R28/(1+Assumptions!$E$30)^(R$6/12)</f>
        <v>90415.867341974</v>
      </c>
      <c r="S30" s="0" t="n">
        <f aca="false">S28/(1+Assumptions!$E$30)^(S$6/12)</f>
        <v>143286.052896414</v>
      </c>
      <c r="T30" s="0" t="n">
        <f aca="false">T28/(1+Assumptions!$E$30)^(T$6/12)</f>
        <v>160715.726877966</v>
      </c>
      <c r="U30" s="0" t="n">
        <f aca="false">U28/(1+Assumptions!$E$30)^(U$6/12)</f>
        <v>177880.931445233</v>
      </c>
      <c r="V30" s="0" t="n">
        <f aca="false">V28/(1+Assumptions!$E$30)^(V$6/12)</f>
        <v>176656.101635789</v>
      </c>
      <c r="W30" s="0" t="n">
        <f aca="false">W28/(1+Assumptions!$E$30)^(W$6/12)</f>
        <v>175439.493883362</v>
      </c>
      <c r="X30" s="0" t="n">
        <f aca="false">X28/(1+Assumptions!$E$30)^(X$6/12)</f>
        <v>174231.055121717</v>
      </c>
      <c r="Y30" s="0" t="n">
        <f aca="false">Y28/(1+Assumptions!$E$30)^(Y$6/12)</f>
        <v>158185.987632814</v>
      </c>
      <c r="Z30" s="0" t="n">
        <f aca="false">Z28/(1+Assumptions!$E$30)^(Z$6/12)</f>
        <v>157102.973304529</v>
      </c>
      <c r="AA30" s="0" t="n">
        <f aca="false">AA28/(1+Assumptions!$E$30)^(AA$6/12)</f>
        <v>156027.166741751</v>
      </c>
      <c r="AB30" s="0" t="n">
        <f aca="false">AB28/(1+Assumptions!$E$30)^(AB$6/12)</f>
        <v>125919.686514505</v>
      </c>
      <c r="AC30" s="0" t="n">
        <f aca="false">AC28/(1+Assumptions!$E$30)^(AC$6/12)</f>
        <v>125071.858610861</v>
      </c>
      <c r="AD30" s="0" t="n">
        <f aca="false">AD28/(1+Assumptions!$E$30)^(AD$6/12)</f>
        <v>124229.528999686</v>
      </c>
      <c r="AE30" s="0" t="n">
        <f aca="false">AE28/(1+Assumptions!$E$30)^(AE$6/12)</f>
        <v>165996.324862324</v>
      </c>
      <c r="AF30" s="0" t="n">
        <f aca="false">AF28/(1+Assumptions!$E$30)^(AF$6/12)</f>
        <v>164851.365756156</v>
      </c>
      <c r="AG30" s="0" t="n">
        <f aca="false">AG28/(1+Assumptions!$E$30)^(AG$6/12)</f>
        <v>163714.112267834</v>
      </c>
      <c r="AH30" s="0" t="n">
        <f aca="false">AH28/(1+Assumptions!$E$30)^(AH$6/12)</f>
        <v>162584.514461099</v>
      </c>
      <c r="AI30" s="0" t="n">
        <f aca="false">AI28/(1+Assumptions!$E$30)^(AI$6/12)</f>
        <v>161462.522703541</v>
      </c>
      <c r="AJ30" s="0" t="n">
        <f aca="false">AJ28/(1+Assumptions!$E$30)^(AJ$6/12)</f>
        <v>160348.087664963</v>
      </c>
      <c r="AK30" s="0" t="n">
        <f aca="false">AK28/(1+Assumptions!$E$30)^(AK$6/12)</f>
        <v>145655.567818698</v>
      </c>
      <c r="AL30" s="0" t="n">
        <f aca="false">AL28/(1+Assumptions!$E$30)^(AL$6/12)</f>
        <v>144656.077534546</v>
      </c>
      <c r="AM30" s="0" t="n">
        <f aca="false">AM28/(1+Assumptions!$E$30)^(AM$6/12)</f>
        <v>143663.262024133</v>
      </c>
      <c r="AN30" s="0" t="n">
        <f aca="false">AN28/(1+Assumptions!$E$30)^(AN$6/12)</f>
        <v>116101.358527737</v>
      </c>
      <c r="AO30" s="0" t="n">
        <f aca="false">AO28/(1+Assumptions!$E$30)^(AO$6/12)</f>
        <v>115317.338759972</v>
      </c>
      <c r="AP30" s="0" t="n">
        <f aca="false">AP28/(1+Assumptions!$E$30)^(AP$6/12)</f>
        <v>114538.427103305</v>
      </c>
      <c r="AQ30" s="0" t="n">
        <f aca="false">AQ28/(1+Assumptions!$E$30)^(AQ$6/12)</f>
        <v>152754.549503065</v>
      </c>
      <c r="AR30" s="0" t="n">
        <f aca="false">AR28/(1+Assumptions!$E$30)^(AR$6/12)</f>
        <v>151698.828059022</v>
      </c>
      <c r="AS30" s="0" t="n">
        <f aca="false">AS28/(1+Assumptions!$E$30)^(AS$6/12)</f>
        <v>17756002.4611437</v>
      </c>
      <c r="AT30" s="0" t="n">
        <f aca="false">AT28/(1+Assumptions!$E$30)^(AT$6/12)</f>
        <v>74690.4664907728</v>
      </c>
      <c r="AU30" s="0" t="n">
        <f aca="false">AU28/(1+Assumptions!$E$30)^(AU$6/12)</f>
        <v>74360.1861215959</v>
      </c>
      <c r="AV30" s="0" t="n">
        <f aca="false">AV28/(1+Assumptions!$E$30)^(AV$6/12)</f>
        <v>74030.2742779028</v>
      </c>
      <c r="AW30" s="0" t="n">
        <f aca="false">AW28/(1+Assumptions!$E$30)^(AW$6/12)</f>
        <v>61267.5044966591</v>
      </c>
      <c r="AX30" s="0" t="n">
        <f aca="false">AX28/(1+Assumptions!$E$30)^(AX$6/12)</f>
        <v>61029.8772308997</v>
      </c>
      <c r="AY30" s="0" t="n">
        <f aca="false">AY28/(1+Assumptions!$E$30)^(AY$6/12)</f>
        <v>60791.9942471237</v>
      </c>
      <c r="AZ30" s="0" t="n">
        <f aca="false">AZ28/(1+Assumptions!$E$30)^(AZ$6/12)</f>
        <v>36232.3467704157</v>
      </c>
      <c r="BA30" s="0" t="n">
        <f aca="false">BA28/(1+Assumptions!$E$30)^(BA$6/12)</f>
        <v>36172.9994244408</v>
      </c>
      <c r="BB30" s="0" t="n">
        <f aca="false">BB28/(1+Assumptions!$E$30)^(BB$6/12)</f>
        <v>36112.1403691946</v>
      </c>
      <c r="BC30" s="0" t="n">
        <f aca="false">BC28/(1+Assumptions!$E$30)^(BC$6/12)</f>
        <v>71732.5724824718</v>
      </c>
      <c r="BD30" s="0" t="n">
        <f aca="false">BD28/(1+Assumptions!$E$30)^(BD$6/12)</f>
        <v>71406.1838618113</v>
      </c>
      <c r="BE30" s="0" t="n">
        <f aca="false">BE28/(1+Assumptions!$E$30)^(BE$6/12)</f>
        <v>71080.3031518897</v>
      </c>
      <c r="BF30" s="0" t="n">
        <f aca="false">BF28/(1+Assumptions!$E$30)^(BF$6/12)</f>
        <v>70754.9444180057</v>
      </c>
      <c r="BG30" s="0" t="n">
        <f aca="false">BG28/(1+Assumptions!$E$30)^(BG$6/12)</f>
        <v>70430.1214546079</v>
      </c>
      <c r="BH30" s="0" t="n">
        <f aca="false">BH28/(1+Assumptions!$E$30)^(BH$6/12)</f>
        <v>70105.8477888609</v>
      </c>
      <c r="BI30" s="0" t="n">
        <f aca="false">BI28/(1+Assumptions!$E$30)^(BI$6/12)</f>
        <v>58403.4989950695</v>
      </c>
      <c r="BJ30" s="0" t="n">
        <f aca="false">BJ28/(1+Assumptions!$E$30)^(BJ$6/12)</f>
        <v>58164.1002992821</v>
      </c>
      <c r="BK30" s="0" t="n">
        <f aca="false">BK28/(1+Assumptions!$E$30)^(BK$6/12)</f>
        <v>13941911.0019316</v>
      </c>
    </row>
    <row r="31" customFormat="false" ht="25" hidden="false" customHeight="true" outlineLevel="0" collapsed="false">
      <c r="A31" s="1"/>
      <c r="B31" s="1" t="s">
        <v>73</v>
      </c>
      <c r="C31" s="3" t="n">
        <f aca="false">SUM($C28:C28)</f>
        <v>-4452000</v>
      </c>
      <c r="D31" s="3" t="n">
        <f aca="false">SUM($C28:D28)</f>
        <v>-4367337.63888889</v>
      </c>
      <c r="E31" s="3" t="n">
        <f aca="false">SUM($C28:E28)</f>
        <v>-4282956.23920013</v>
      </c>
      <c r="F31" s="3" t="n">
        <f aca="false">SUM($C28:F28)</f>
        <v>-4198854.9594183</v>
      </c>
      <c r="G31" s="3" t="n">
        <f aca="false">SUM($C28:G28)</f>
        <v>-4062207.74544933</v>
      </c>
      <c r="H31" s="3" t="n">
        <f aca="false">SUM($C28:H28)</f>
        <v>-3925730.15186744</v>
      </c>
      <c r="I31" s="3" t="n">
        <f aca="false">SUM($C28:I28)</f>
        <v>-3789421.10781291</v>
      </c>
      <c r="J31" s="3" t="n">
        <f aca="false">SUM($C28:J28)</f>
        <v>-3817180.59017208</v>
      </c>
      <c r="K31" s="3" t="n">
        <f aca="false">SUM($C28:K28)</f>
        <v>-3823690.39316679</v>
      </c>
      <c r="L31" s="0" t="n">
        <f aca="false">SUM($C28:L28)</f>
        <v>-3808863.06486738</v>
      </c>
      <c r="M31" s="0" t="n">
        <f aca="false">SUM($C28:M28)</f>
        <v>-3778553.26654348</v>
      </c>
      <c r="N31" s="0" t="n">
        <f aca="false">SUM($C28:N28)</f>
        <v>-3728231.51823568</v>
      </c>
      <c r="O31" s="0" t="n">
        <f aca="false">SUM($C28:O28)</f>
        <v>-3657815.7134377</v>
      </c>
      <c r="P31" s="0" t="n">
        <f aca="false">SUM($C28:P28)</f>
        <v>-3588150.62234612</v>
      </c>
      <c r="Q31" s="0" t="n">
        <f aca="false">SUM($C28:Q28)</f>
        <v>-3501265.35556228</v>
      </c>
      <c r="R31" s="0" t="n">
        <f aca="false">SUM($C28:R28)</f>
        <v>-3397089.47475734</v>
      </c>
      <c r="S31" s="0" t="n">
        <f aca="false">SUM($C28:S28)</f>
        <v>-3230430.79021989</v>
      </c>
      <c r="T31" s="0" t="n">
        <f aca="false">SUM($C28:T28)</f>
        <v>-3041725.57235485</v>
      </c>
      <c r="U31" s="0" t="n">
        <f aca="false">SUM($C28:U28)</f>
        <v>-2830883.91135694</v>
      </c>
      <c r="V31" s="0" t="n">
        <f aca="false">SUM($C28:V28)</f>
        <v>-2619507.17979144</v>
      </c>
      <c r="W31" s="0" t="n">
        <f aca="false">SUM($C28:W28)</f>
        <v>-2407594.27550057</v>
      </c>
      <c r="X31" s="0" t="n">
        <f aca="false">SUM($C28:X28)</f>
        <v>-2195144.09405632</v>
      </c>
      <c r="Y31" s="0" t="n">
        <f aca="false">SUM($C28:Y28)</f>
        <v>-2000428.35743948</v>
      </c>
      <c r="Z31" s="0" t="n">
        <f aca="false">SUM($C28:Z28)</f>
        <v>-1805210.76701897</v>
      </c>
      <c r="AA31" s="0" t="n">
        <f aca="false">SUM($C28:AA28)</f>
        <v>-1609490.28905811</v>
      </c>
      <c r="AB31" s="0" t="n">
        <f aca="false">SUM($C28:AB28)</f>
        <v>-1450037.84477101</v>
      </c>
      <c r="AC31" s="0" t="n">
        <f aca="false">SUM($C28:AC28)</f>
        <v>-1290156.18328876</v>
      </c>
      <c r="AD31" s="0" t="n">
        <f aca="false">SUM($C28:AD28)</f>
        <v>-1129844.42049423</v>
      </c>
      <c r="AE31" s="0" t="n">
        <f aca="false">SUM($C28:AE28)</f>
        <v>-913602.18330484</v>
      </c>
      <c r="AF31" s="0" t="n">
        <f aca="false">SUM($C28:AF28)</f>
        <v>-696813.751245137</v>
      </c>
      <c r="AG31" s="0" t="n">
        <f aca="false">SUM($C28:AG28)</f>
        <v>-479477.999243115</v>
      </c>
      <c r="AH31" s="0" t="n">
        <f aca="false">SUM($C28:AH28)</f>
        <v>-261593.799909306</v>
      </c>
      <c r="AI31" s="0" t="n">
        <f aca="false">SUM($C28:AI28)</f>
        <v>-43160.0235320039</v>
      </c>
      <c r="AJ31" s="0" t="n">
        <f aca="false">SUM($C28:AJ28)</f>
        <v>175824.461927519</v>
      </c>
      <c r="AK31" s="0" t="n">
        <f aca="false">SUM($C28:AK28)</f>
        <v>376631.141438948</v>
      </c>
      <c r="AL31" s="0" t="n">
        <f aca="false">SUM($C28:AL28)</f>
        <v>577952.22109914</v>
      </c>
      <c r="AM31" s="0" t="n">
        <f aca="false">SUM($C28:AM28)</f>
        <v>779788.760488181</v>
      </c>
      <c r="AN31" s="0" t="n">
        <f aca="false">SUM($C28:AN28)</f>
        <v>944450.565361635</v>
      </c>
      <c r="AO31" s="0" t="n">
        <f aca="false">SUM($C28:AO28)</f>
        <v>1109552.3178601</v>
      </c>
      <c r="AP31" s="0" t="n">
        <f aca="false">SUM($C28:AP28)</f>
        <v>1275094.92420367</v>
      </c>
      <c r="AQ31" s="0" t="n">
        <f aca="false">SUM($C28:AQ28)</f>
        <v>1497966.26680195</v>
      </c>
      <c r="AR31" s="0" t="n">
        <f aca="false">SUM($C28:AR28)</f>
        <v>1721397.45914232</v>
      </c>
      <c r="AS31" s="0" t="n">
        <f aca="false">SUM($C28:AS28)</f>
        <v>28121661.8301491</v>
      </c>
      <c r="AT31" s="0" t="n">
        <f aca="false">SUM($C28:AT28)</f>
        <v>28233768.0614734</v>
      </c>
      <c r="AU31" s="0" t="n">
        <f aca="false">SUM($C28:AU28)</f>
        <v>28346437.6092672</v>
      </c>
      <c r="AV31" s="0" t="n">
        <f aca="false">SUM($C28:AV28)</f>
        <v>28459671.6338703</v>
      </c>
      <c r="AW31" s="0" t="n">
        <f aca="false">SUM($C28:AW28)</f>
        <v>28554273.4073766</v>
      </c>
      <c r="AX31" s="0" t="n">
        <f aca="false">SUM($C28:AX28)</f>
        <v>28649402.4410354</v>
      </c>
      <c r="AY31" s="0" t="n">
        <f aca="false">SUM($C28:AY28)</f>
        <v>28745059.8209163</v>
      </c>
      <c r="AZ31" s="0" t="n">
        <f aca="false">SUM($C28:AZ28)</f>
        <v>28802613.0979186</v>
      </c>
      <c r="BA31" s="0" t="n">
        <f aca="false">SUM($C28:BA28)</f>
        <v>28860617.3212367</v>
      </c>
      <c r="BB31" s="0" t="n">
        <f aca="false">SUM($C28:BB28)</f>
        <v>28919073.4197459</v>
      </c>
      <c r="BC31" s="0" t="n">
        <f aca="false">SUM($C28:BC28)</f>
        <v>29036291.4729162</v>
      </c>
      <c r="BD31" s="0" t="n">
        <f aca="false">SUM($C28:BD28)</f>
        <v>29154083.3720722</v>
      </c>
      <c r="BE31" s="0" t="n">
        <f aca="false">SUM($C28:BE28)</f>
        <v>29272450.2992426</v>
      </c>
      <c r="BF31" s="0" t="n">
        <f aca="false">SUM($C28:BF28)</f>
        <v>29391393.4388909</v>
      </c>
      <c r="BG31" s="0" t="n">
        <f aca="false">SUM($C28:BG28)</f>
        <v>29510913.9779205</v>
      </c>
      <c r="BH31" s="0" t="n">
        <f aca="false">SUM($C28:BH28)</f>
        <v>29631013.1056797</v>
      </c>
      <c r="BI31" s="0" t="n">
        <f aca="false">SUM($C28:BI28)</f>
        <v>29732014.1760646</v>
      </c>
      <c r="BJ31" s="0" t="n">
        <f aca="false">SUM($C28:BJ28)</f>
        <v>29833555.6881058</v>
      </c>
      <c r="BK31" s="0" t="n">
        <f aca="false">SUM($C28:BK28)</f>
        <v>54403966.5902746</v>
      </c>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2" t="s">
        <v>74</v>
      </c>
      <c r="C49" s="12"/>
      <c r="D49" s="12"/>
      <c r="E49" s="12"/>
      <c r="F49" s="12"/>
      <c r="G49" s="12"/>
      <c r="H49" s="12"/>
      <c r="I49" s="12"/>
      <c r="J49" s="12"/>
      <c r="K49" s="12"/>
    </row>
    <row r="50" customFormat="false" ht="25" hidden="false" customHeight="true" outlineLevel="0" collapsed="false">
      <c r="A50" s="1"/>
      <c r="B50" s="12"/>
      <c r="C50" s="12"/>
      <c r="D50" s="12"/>
      <c r="E50" s="12"/>
      <c r="F50" s="12"/>
      <c r="G50" s="12"/>
      <c r="H50" s="12"/>
      <c r="I50" s="12"/>
      <c r="J50" s="12"/>
      <c r="K50" s="12"/>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49:K5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75</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t="n">
        <v>0</v>
      </c>
      <c r="D6" s="3" t="n">
        <v>1</v>
      </c>
      <c r="E6" s="3" t="n">
        <v>2</v>
      </c>
      <c r="F6" s="3" t="n">
        <v>3</v>
      </c>
      <c r="G6" s="3" t="n">
        <v>4</v>
      </c>
      <c r="H6" s="3" t="n">
        <v>5</v>
      </c>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51</v>
      </c>
      <c r="C8" s="3" t="n">
        <f aca="false">SUM(Monthly!C9)</f>
        <v>12720000</v>
      </c>
      <c r="D8" s="3" t="n">
        <f aca="false">SUM(Monthly!D9:O9)</f>
        <v>1175000</v>
      </c>
      <c r="E8" s="3" t="n">
        <f aca="false">SUM(Monthly!P9:AA9)</f>
        <v>0</v>
      </c>
      <c r="F8" s="3" t="n">
        <f aca="false">SUM(Monthly!AB9:AM9)</f>
        <v>0</v>
      </c>
      <c r="G8" s="3" t="n">
        <f aca="false">SUM(Monthly!AN9:AY9)</f>
        <v>0</v>
      </c>
      <c r="H8" s="3" t="n">
        <f aca="false">SUM(Monthly!AZ9:BK9)</f>
        <v>0</v>
      </c>
      <c r="I8" s="3"/>
      <c r="J8" s="3"/>
      <c r="K8" s="3"/>
    </row>
    <row r="9" customFormat="false" ht="25" hidden="false" customHeight="true" outlineLevel="0" collapsed="false">
      <c r="A9" s="1"/>
      <c r="B9" s="1" t="s">
        <v>76</v>
      </c>
      <c r="C9" s="3" t="n">
        <f aca="false">SUM(Monthly!C16)</f>
        <v>0</v>
      </c>
      <c r="D9" s="3" t="n">
        <f aca="false">SUM(Monthly!D16:O16)</f>
        <v>1967464.68843727</v>
      </c>
      <c r="E9" s="3" t="n">
        <f aca="false">SUM(Monthly!P16:AA16)</f>
        <v>2912798.56115639</v>
      </c>
      <c r="F9" s="3" t="n">
        <f aca="false">SUM(Monthly!AB16:AM16)</f>
        <v>3289642.0416038</v>
      </c>
      <c r="G9" s="3" t="n">
        <f aca="false">SUM(Monthly!AN16:AY16)</f>
        <v>3371883.0926439</v>
      </c>
      <c r="H9" s="3" t="n">
        <f aca="false">SUM(Monthly!AZ16:BK16)</f>
        <v>3456180.16995999</v>
      </c>
      <c r="I9" s="3"/>
      <c r="J9" s="3"/>
      <c r="K9" s="3"/>
    </row>
    <row r="10" customFormat="false" ht="25" hidden="false" customHeight="true" outlineLevel="0" collapsed="false">
      <c r="A10" s="1"/>
      <c r="B10" s="1" t="s">
        <v>77</v>
      </c>
      <c r="C10" s="3" t="n">
        <f aca="false">SUM(Monthly!C17)</f>
        <v>0</v>
      </c>
      <c r="D10" s="3" t="n">
        <f aca="false">SUM(Monthly!D17:O17)</f>
        <v>187377.589374979</v>
      </c>
      <c r="E10" s="3" t="n">
        <f aca="false">SUM(Monthly!P17:AA17)</f>
        <v>277409.386776799</v>
      </c>
      <c r="F10" s="3" t="n">
        <f aca="false">SUM(Monthly!AB17:AM17)</f>
        <v>313299.242057505</v>
      </c>
      <c r="G10" s="3" t="n">
        <f aca="false">SUM(Monthly!AN17:AY17)</f>
        <v>321131.723108942</v>
      </c>
      <c r="H10" s="3" t="n">
        <f aca="false">SUM(Monthly!AZ17:BK17)</f>
        <v>329160.016186666</v>
      </c>
      <c r="I10" s="3"/>
      <c r="J10" s="3"/>
      <c r="K10" s="3"/>
    </row>
    <row r="11" customFormat="false" ht="25" hidden="false" customHeight="true" outlineLevel="0" collapsed="false">
      <c r="A11" s="1"/>
      <c r="B11" s="1" t="s">
        <v>78</v>
      </c>
      <c r="C11" s="3" t="n">
        <f aca="false">SUM(Monthly!C20)</f>
        <v>0</v>
      </c>
      <c r="D11" s="3" t="n">
        <f aca="false">SUM(Monthly!D20:O20)</f>
        <v>574652.8125</v>
      </c>
      <c r="E11" s="3" t="n">
        <f aca="false">SUM(Monthly!P20:AA20)</f>
        <v>587063.75</v>
      </c>
      <c r="F11" s="3" t="n">
        <f aca="false">SUM(Monthly!AB20:AM20)</f>
        <v>587063.75</v>
      </c>
      <c r="G11" s="3" t="n">
        <f aca="false">SUM(Monthly!AN20:AY20)</f>
        <v>1261752.48483245</v>
      </c>
      <c r="H11" s="3" t="n">
        <f aca="false">SUM(Monthly!AZ20:BK20)</f>
        <v>1936441.21966491</v>
      </c>
      <c r="I11" s="3"/>
      <c r="J11" s="3"/>
      <c r="K11" s="3"/>
    </row>
    <row r="12" customFormat="false" ht="25" hidden="false" customHeight="true" outlineLevel="0" collapsed="false">
      <c r="A12" s="1"/>
      <c r="B12" s="1" t="s">
        <v>63</v>
      </c>
      <c r="C12" s="3" t="n">
        <f aca="false">SUM(Monthly!C21)</f>
        <v>0</v>
      </c>
      <c r="D12" s="3" t="n">
        <f aca="false">SUM(Monthly!D21:O21)</f>
        <v>0</v>
      </c>
      <c r="E12" s="3" t="n">
        <f aca="false">SUM(Monthly!P21:AA21)</f>
        <v>0</v>
      </c>
      <c r="F12" s="3" t="n">
        <f aca="false">SUM(Monthly!AB21:AM21)</f>
        <v>0</v>
      </c>
      <c r="G12" s="3" t="n">
        <f aca="false">SUM(Monthly!AN21:AY21)</f>
        <v>35208022.1757256</v>
      </c>
      <c r="H12" s="3" t="n">
        <f aca="false">SUM(Monthly!AZ21:BK21)</f>
        <v>0</v>
      </c>
      <c r="I12" s="3"/>
      <c r="J12" s="3"/>
      <c r="K12" s="3"/>
    </row>
    <row r="13" customFormat="false" ht="25" hidden="false" customHeight="true" outlineLevel="0" collapsed="false">
      <c r="A13" s="1"/>
      <c r="B13" s="1" t="s">
        <v>79</v>
      </c>
      <c r="C13" s="3" t="n">
        <f aca="false">SUM(Monthly!C22)</f>
        <v>0</v>
      </c>
      <c r="D13" s="3" t="n">
        <f aca="false">SUM(Monthly!D22:O22)</f>
        <v>0</v>
      </c>
      <c r="E13" s="3" t="n">
        <f aca="false">SUM(Monthly!P22:AA22)</f>
        <v>0</v>
      </c>
      <c r="F13" s="3" t="n">
        <f aca="false">SUM(Monthly!AB22:AM22)</f>
        <v>0</v>
      </c>
      <c r="G13" s="3" t="n">
        <f aca="false">SUM(Monthly!AN22:AY22)</f>
        <v>0</v>
      </c>
      <c r="H13" s="3" t="n">
        <f aca="false">SUM(Monthly!AZ22:BK22)</f>
        <v>60894234.705077</v>
      </c>
      <c r="I13" s="3"/>
      <c r="J13" s="3"/>
      <c r="K13" s="3"/>
    </row>
    <row r="14" customFormat="false" ht="25" hidden="false" customHeight="true" outlineLevel="0" collapsed="false">
      <c r="A14" s="1"/>
      <c r="B14" s="1" t="s">
        <v>70</v>
      </c>
      <c r="C14" s="3" t="n">
        <f aca="false">SUM(Monthly!C28)</f>
        <v>-4452000</v>
      </c>
      <c r="D14" s="3" t="n">
        <f aca="false">SUM(Monthly!D28:O28)</f>
        <v>794184.286562297</v>
      </c>
      <c r="E14" s="3" t="n">
        <f aca="false">SUM(Monthly!P28:AA28)</f>
        <v>2048325.42437959</v>
      </c>
      <c r="F14" s="3" t="n">
        <f aca="false">SUM(Monthly!AB28:AM28)</f>
        <v>2389279.0495463</v>
      </c>
      <c r="G14" s="3" t="n">
        <f aca="false">SUM(Monthly!AN28:AY28)</f>
        <v>27965271.0604281</v>
      </c>
      <c r="H14" s="3" t="n">
        <f aca="false">SUM(Monthly!AZ28:BK28)</f>
        <v>25658906.7693583</v>
      </c>
      <c r="I14" s="3"/>
      <c r="J14" s="3"/>
      <c r="K14" s="3"/>
    </row>
    <row r="15" customFormat="false" ht="25" hidden="false" customHeight="true" outlineLevel="0" collapsed="false">
      <c r="A15" s="1"/>
      <c r="B15" s="1" t="s">
        <v>71</v>
      </c>
      <c r="C15" s="3" t="n">
        <f aca="false">SUM(Monthly!C29)</f>
        <v>-12720000</v>
      </c>
      <c r="D15" s="3" t="n">
        <f aca="false">SUM(Monthly!D29:O29)</f>
        <v>605087.099062296</v>
      </c>
      <c r="E15" s="3" t="n">
        <f aca="false">SUM(Monthly!P29:AA29)</f>
        <v>2635389.17437959</v>
      </c>
      <c r="F15" s="3" t="n">
        <f aca="false">SUM(Monthly!AB29:AM29)</f>
        <v>2976342.7995463</v>
      </c>
      <c r="G15" s="3" t="n">
        <f aca="false">SUM(Monthly!AN29:AY29)</f>
        <v>3050751.36953495</v>
      </c>
      <c r="H15" s="3" t="n">
        <f aca="false">SUM(Monthly!AZ29:BK29)</f>
        <v>62803370.1647488</v>
      </c>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80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81</v>
      </c>
      <c r="C8" s="3" t="n">
        <f aca="false">MAX(Monthly!C27:BK27)</f>
        <v>35208022.1757256</v>
      </c>
      <c r="D8" s="3"/>
      <c r="E8" s="3"/>
      <c r="F8" s="3"/>
      <c r="G8" s="3"/>
      <c r="H8" s="3"/>
      <c r="I8" s="3"/>
      <c r="J8" s="3"/>
      <c r="K8" s="3"/>
    </row>
    <row r="9" customFormat="false" ht="25" hidden="false" customHeight="true" outlineLevel="0" collapsed="false">
      <c r="A9" s="1"/>
      <c r="B9" s="1" t="s">
        <v>82</v>
      </c>
      <c r="C9" s="16" t="n">
        <f aca="false">C8/SUM(Monthly!C9:BK9)</f>
        <v>2.53386269706553</v>
      </c>
      <c r="D9" s="3"/>
      <c r="E9" s="3"/>
      <c r="F9" s="3"/>
      <c r="G9" s="3"/>
      <c r="H9" s="3"/>
      <c r="I9" s="3"/>
      <c r="J9" s="3"/>
      <c r="K9" s="3"/>
    </row>
    <row r="10" customFormat="false" ht="25" hidden="false" customHeight="true" outlineLevel="0" collapsed="false">
      <c r="A10" s="1"/>
      <c r="B10" s="1" t="s">
        <v>83</v>
      </c>
      <c r="C10" s="3" t="n">
        <f aca="false">SUM(Monthly!AZ16:BK16)</f>
        <v>3456180.16995999</v>
      </c>
      <c r="D10" s="3"/>
      <c r="E10" s="3"/>
      <c r="F10" s="3"/>
      <c r="G10" s="3"/>
      <c r="H10" s="3"/>
      <c r="I10" s="3"/>
      <c r="J10" s="3"/>
      <c r="K10" s="3"/>
    </row>
    <row r="11" customFormat="false" ht="25" hidden="false" customHeight="true" outlineLevel="0" collapsed="false">
      <c r="A11" s="1"/>
      <c r="B11" s="1" t="s">
        <v>84</v>
      </c>
      <c r="C11" s="16" t="n">
        <f aca="false">IF(C8&gt;0,C10/C8,0)</f>
        <v>0.0981645646753449</v>
      </c>
      <c r="D11" s="3"/>
      <c r="E11" s="3"/>
      <c r="F11" s="3"/>
      <c r="G11" s="3"/>
      <c r="H11" s="3"/>
      <c r="I11" s="3"/>
      <c r="J11" s="3"/>
      <c r="K11" s="3"/>
    </row>
    <row r="12" customFormat="false" ht="25" hidden="false" customHeight="true" outlineLevel="0" collapsed="false">
      <c r="A12" s="1"/>
      <c r="B12" s="1" t="s">
        <v>85</v>
      </c>
      <c r="C12" s="16" t="n">
        <f aca="false">IF(Monthly!BK22&gt;0,Monthly!BK19/Monthly!BK22,0)</f>
        <v>0.578183178526589</v>
      </c>
      <c r="D12" s="3"/>
      <c r="E12" s="3"/>
      <c r="F12" s="3"/>
      <c r="G12" s="3"/>
      <c r="H12" s="3"/>
      <c r="I12" s="3"/>
      <c r="J12" s="3"/>
      <c r="K12" s="3"/>
    </row>
    <row r="13" customFormat="false" ht="25" hidden="false" customHeight="true" outlineLevel="0" collapsed="false">
      <c r="A13" s="1"/>
      <c r="B13" s="1" t="s">
        <v>86</v>
      </c>
      <c r="C13" s="18" t="n">
        <f aca="false">IF(SUM(Monthly!AZ20:BK20)&gt;0,C10/SUM(Monthly!AZ20:BK20),0)</f>
        <v>1.78481026682445</v>
      </c>
      <c r="D13" s="3"/>
      <c r="E13" s="3"/>
      <c r="F13" s="3"/>
      <c r="G13" s="3"/>
      <c r="H13" s="3"/>
      <c r="I13" s="3"/>
      <c r="J13" s="3"/>
      <c r="K13" s="3"/>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2" t="s">
        <v>87</v>
      </c>
      <c r="C17" s="12"/>
      <c r="D17" s="12"/>
      <c r="E17" s="12"/>
      <c r="F17" s="12"/>
      <c r="G17" s="12"/>
      <c r="H17" s="12"/>
      <c r="I17" s="12"/>
      <c r="J17" s="12"/>
      <c r="K17" s="12"/>
    </row>
    <row r="18" customFormat="false" ht="25" hidden="false" customHeight="true" outlineLevel="0" collapsed="false">
      <c r="A18" s="1"/>
      <c r="B18" s="12"/>
      <c r="C18" s="12"/>
      <c r="D18" s="12"/>
      <c r="E18" s="12"/>
      <c r="F18" s="12"/>
      <c r="G18" s="12"/>
      <c r="H18" s="12"/>
      <c r="I18" s="12"/>
      <c r="J18" s="12"/>
      <c r="K18" s="12"/>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17:K18"/>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88</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2" t="s">
        <v>89</v>
      </c>
      <c r="C6" s="12"/>
      <c r="D6" s="12"/>
      <c r="E6" s="12"/>
      <c r="F6" s="12"/>
      <c r="G6" s="12"/>
      <c r="H6" s="12"/>
      <c r="I6" s="12"/>
      <c r="J6" s="12"/>
      <c r="K6" s="12"/>
    </row>
    <row r="7" customFormat="false" ht="25" hidden="false" customHeight="true" outlineLevel="0" collapsed="false">
      <c r="A7" s="1"/>
      <c r="B7" s="12"/>
      <c r="C7" s="12"/>
      <c r="D7" s="12"/>
      <c r="E7" s="12"/>
      <c r="F7" s="12"/>
      <c r="G7" s="12"/>
      <c r="H7" s="12"/>
      <c r="I7" s="12"/>
      <c r="J7" s="12"/>
      <c r="K7" s="12"/>
    </row>
    <row r="8" customFormat="false" ht="25" hidden="false" customHeight="true" outlineLevel="0" collapsed="false">
      <c r="A8" s="1"/>
      <c r="B8" s="1"/>
      <c r="C8" s="3"/>
      <c r="D8" s="3"/>
      <c r="E8" s="3"/>
      <c r="F8" s="3"/>
      <c r="G8" s="3"/>
      <c r="H8" s="3"/>
      <c r="I8" s="3"/>
      <c r="J8" s="3"/>
      <c r="K8" s="3"/>
    </row>
    <row r="9" customFormat="false" ht="25" hidden="false" customHeight="true" outlineLevel="0" collapsed="false">
      <c r="A9" s="1"/>
      <c r="B9" s="1"/>
      <c r="C9" s="16" t="n">
        <f aca="false">Assumptions!$E$28+-0.01</f>
        <v>0.0475</v>
      </c>
      <c r="D9" s="16" t="n">
        <f aca="false">Assumptions!$E$28+-0.005</f>
        <v>0.0525</v>
      </c>
      <c r="E9" s="16" t="n">
        <f aca="false">Assumptions!$E$28+0</f>
        <v>0.0575</v>
      </c>
      <c r="F9" s="16" t="n">
        <f aca="false">Assumptions!$E$28+0.005</f>
        <v>0.0625</v>
      </c>
      <c r="G9" s="16" t="n">
        <f aca="false">Assumptions!$E$28+0.01</f>
        <v>0.0675</v>
      </c>
      <c r="H9" s="3"/>
      <c r="I9" s="3"/>
      <c r="J9" s="3"/>
      <c r="K9" s="3"/>
    </row>
    <row r="10" customFormat="false" ht="25" hidden="false" customHeight="true" outlineLevel="0" collapsed="false">
      <c r="A10" s="1"/>
      <c r="B10" s="16" t="n">
        <v>-0.1</v>
      </c>
      <c r="C10" s="3" t="n">
        <f aca="false">Monthly!BK18*(1+$B10)/C$9</f>
        <v>66342666.2313208</v>
      </c>
      <c r="D10" s="3" t="n">
        <f aca="false">Monthly!BK18*(1+$B10)/D$9</f>
        <v>60024317.0664331</v>
      </c>
      <c r="E10" s="3" t="n">
        <f aca="false">Monthly!BK18*(1+$B10)/E$9</f>
        <v>54804811.2345693</v>
      </c>
      <c r="F10" s="3" t="n">
        <f aca="false">Monthly!BK18*(1+$B10)/F$9</f>
        <v>50420426.3358038</v>
      </c>
      <c r="G10" s="3" t="n">
        <f aca="false">Monthly!BK18*(1+$B10)/G$9</f>
        <v>46685579.9405591</v>
      </c>
      <c r="H10" s="3"/>
      <c r="I10" s="3"/>
      <c r="J10" s="3"/>
      <c r="K10" s="3"/>
    </row>
    <row r="11" customFormat="false" ht="25" hidden="false" customHeight="true" outlineLevel="0" collapsed="false">
      <c r="A11" s="1"/>
      <c r="B11" s="16" t="n">
        <v>-0.05</v>
      </c>
      <c r="C11" s="3" t="n">
        <f aca="false">Monthly!BK18*(1+$B11)/C$9</f>
        <v>70028369.9108386</v>
      </c>
      <c r="D11" s="3" t="n">
        <f aca="false">Monthly!BK18*(1+$B11)/D$9</f>
        <v>63359001.3479016</v>
      </c>
      <c r="E11" s="3" t="n">
        <f aca="false">Monthly!BK18*(1+$B11)/E$9</f>
        <v>57849522.9698232</v>
      </c>
      <c r="F11" s="3" t="n">
        <f aca="false">Monthly!BK18*(1+$B11)/F$9</f>
        <v>53221561.1322373</v>
      </c>
      <c r="G11" s="3" t="n">
        <f aca="false">Monthly!BK18*(1+$B11)/G$9</f>
        <v>49279223.2705901</v>
      </c>
      <c r="H11" s="3"/>
      <c r="I11" s="3"/>
      <c r="J11" s="3"/>
      <c r="K11" s="3"/>
    </row>
    <row r="12" customFormat="false" ht="25" hidden="false" customHeight="true" outlineLevel="0" collapsed="false">
      <c r="A12" s="1"/>
      <c r="B12" s="16" t="n">
        <v>0</v>
      </c>
      <c r="C12" s="3" t="n">
        <f aca="false">Monthly!BK18*(1+$B12)/C$9</f>
        <v>73714073.5903564</v>
      </c>
      <c r="D12" s="3" t="n">
        <f aca="false">Monthly!BK18*(1+$B12)/D$9</f>
        <v>66693685.6293701</v>
      </c>
      <c r="E12" s="3" t="n">
        <f aca="false">Monthly!BK18*(1+$B12)/E$9</f>
        <v>60894234.705077</v>
      </c>
      <c r="F12" s="3" t="n">
        <f aca="false">Monthly!BK18*(1+$B12)/F$9</f>
        <v>56022695.9286709</v>
      </c>
      <c r="G12" s="3" t="n">
        <f aca="false">Monthly!BK18*(1+$B12)/G$9</f>
        <v>51872866.6006212</v>
      </c>
      <c r="H12" s="3"/>
      <c r="I12" s="3"/>
      <c r="J12" s="3"/>
      <c r="K12" s="3"/>
    </row>
    <row r="13" customFormat="false" ht="25" hidden="false" customHeight="true" outlineLevel="0" collapsed="false">
      <c r="A13" s="1"/>
      <c r="B13" s="16" t="n">
        <v>0.05</v>
      </c>
      <c r="C13" s="3" t="n">
        <f aca="false">Monthly!BK18*(1+$B13)/C$9</f>
        <v>77399777.2698742</v>
      </c>
      <c r="D13" s="3" t="n">
        <f aca="false">Monthly!BK18*(1+$B13)/D$9</f>
        <v>70028369.9108386</v>
      </c>
      <c r="E13" s="3" t="n">
        <f aca="false">Monthly!BK18*(1+$B13)/E$9</f>
        <v>63938946.4403309</v>
      </c>
      <c r="F13" s="3" t="n">
        <f aca="false">Monthly!BK18*(1+$B13)/F$9</f>
        <v>58823830.7251044</v>
      </c>
      <c r="G13" s="3" t="n">
        <f aca="false">Monthly!BK18*(1+$B13)/G$9</f>
        <v>54466509.9306522</v>
      </c>
      <c r="H13" s="3"/>
      <c r="I13" s="3"/>
      <c r="J13" s="3"/>
      <c r="K13" s="3"/>
    </row>
    <row r="14" customFormat="false" ht="25" hidden="false" customHeight="true" outlineLevel="0" collapsed="false">
      <c r="A14" s="1"/>
      <c r="B14" s="16" t="n">
        <v>0.1</v>
      </c>
      <c r="C14" s="3" t="n">
        <f aca="false">Monthly!BK18*(1+$B14)/C$9</f>
        <v>81085480.9493921</v>
      </c>
      <c r="D14" s="3" t="n">
        <f aca="false">Monthly!BK18*(1+$B14)/D$9</f>
        <v>73363054.1923071</v>
      </c>
      <c r="E14" s="3" t="n">
        <f aca="false">Monthly!BK18*(1+$B14)/E$9</f>
        <v>66983658.1755847</v>
      </c>
      <c r="F14" s="3" t="n">
        <f aca="false">Monthly!BK18*(1+$B14)/F$9</f>
        <v>61624965.521538</v>
      </c>
      <c r="G14" s="3" t="n">
        <f aca="false">Monthly!BK18*(1+$B14)/G$9</f>
        <v>57060153.2606833</v>
      </c>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6:K7"/>
  </mergeCells>
  <conditionalFormatting sqref="C10:G14">
    <cfRule type="colorScale" priority="2">
      <colorScale>
        <cfvo type="min" val="0"/>
        <cfvo type="percentile" val="50"/>
        <cfvo type="max" val="0"/>
        <color rgb="FFF6E4D8"/>
        <color rgb="FFF5F7EF"/>
        <color rgb="FFC3DABA"/>
      </colorScale>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90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91</v>
      </c>
      <c r="C8" s="3" t="n">
        <f aca="false">SUM(Monthly!C10:BK10,Monthly!C21:BK21)-SUM(Monthly!C24:BK26)-Monthly!BK27</f>
        <v>0</v>
      </c>
      <c r="D8" s="3"/>
      <c r="E8" s="3"/>
      <c r="F8" s="3"/>
      <c r="G8" s="3"/>
      <c r="H8" s="3"/>
      <c r="I8" s="3"/>
      <c r="J8" s="3"/>
      <c r="K8" s="3"/>
    </row>
    <row r="9" customFormat="false" ht="25" hidden="false" customHeight="true" outlineLevel="0" collapsed="false">
      <c r="A9" s="1"/>
      <c r="B9" s="1" t="s">
        <v>92</v>
      </c>
      <c r="C9" s="3" t="n">
        <f aca="false">Monthly!BK27</f>
        <v>0</v>
      </c>
      <c r="D9" s="3"/>
      <c r="E9" s="3"/>
      <c r="F9" s="3"/>
      <c r="G9" s="3"/>
      <c r="H9" s="3"/>
      <c r="I9" s="3"/>
      <c r="J9" s="3"/>
      <c r="K9" s="3"/>
    </row>
    <row r="10" customFormat="false" ht="25" hidden="false" customHeight="true" outlineLevel="0" collapsed="false">
      <c r="A10" s="1"/>
      <c r="B10" s="1" t="s">
        <v>93</v>
      </c>
      <c r="C10" s="3" t="n">
        <f aca="false">SUM(Monthly!C9:BK9)-(Assumptions!$E$8*(1+Assumptions!$E$9)+Assumptions!$E$11*(1+Assumptions!$E$12+Assumptions!$E$13)+Assumptions!$E$33)</f>
        <v>3.72529029846191E-009</v>
      </c>
      <c r="D10" s="3"/>
      <c r="E10" s="3"/>
      <c r="F10" s="3"/>
      <c r="G10" s="3"/>
      <c r="H10" s="3"/>
      <c r="I10" s="3"/>
      <c r="J10" s="3"/>
      <c r="K10" s="3"/>
    </row>
    <row r="11" customFormat="false" ht="25" hidden="false" customHeight="true" outlineLevel="0" collapsed="false">
      <c r="A11" s="1"/>
      <c r="B11" s="1"/>
      <c r="C11" s="3"/>
      <c r="D11" s="3"/>
      <c r="E11" s="3"/>
      <c r="F11" s="3"/>
      <c r="G11" s="3"/>
      <c r="H11" s="3"/>
      <c r="I11" s="3"/>
      <c r="J11" s="3"/>
      <c r="K11" s="3"/>
    </row>
    <row r="12" customFormat="false" ht="25" hidden="false" customHeight="true" outlineLevel="0" collapsed="false">
      <c r="A12" s="1"/>
      <c r="B12" s="1" t="s">
        <v>94</v>
      </c>
      <c r="C12" s="22" t="str">
        <f aca="false">IF(OR(ISERROR(Dashboard!C10),ISERROR(Dashboard!C18)),"IRR ERROR","OK")</f>
        <v>OK</v>
      </c>
      <c r="D12" s="3"/>
      <c r="E12" s="3"/>
      <c r="F12" s="3"/>
      <c r="G12" s="3"/>
      <c r="H12" s="3"/>
      <c r="I12" s="3"/>
      <c r="J12" s="3"/>
      <c r="K12" s="3"/>
    </row>
    <row r="13" customFormat="false" ht="25" hidden="false" customHeight="true" outlineLevel="0" collapsed="false">
      <c r="A13" s="1"/>
      <c r="B13" s="1"/>
      <c r="C13" s="3"/>
      <c r="D13" s="3"/>
      <c r="E13" s="3"/>
      <c r="F13" s="3"/>
      <c r="G13" s="3"/>
      <c r="H13" s="3"/>
      <c r="I13" s="3"/>
      <c r="J13" s="3"/>
      <c r="K13" s="3"/>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conditionalFormatting sqref="C12">
    <cfRule type="cellIs" priority="2" operator="equal" aboveAverage="0" equalAverage="0" bottom="0" percent="0" rank="0" text="" dxfId="0">
      <formula>"IRR ERROR"</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95</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2" t="s">
        <v>96</v>
      </c>
      <c r="C6" s="12"/>
      <c r="D6" s="12"/>
      <c r="E6" s="12"/>
      <c r="F6" s="12"/>
      <c r="G6" s="12"/>
      <c r="H6" s="12"/>
      <c r="I6" s="12"/>
      <c r="J6" s="12"/>
      <c r="K6" s="12"/>
    </row>
    <row r="7" customFormat="false" ht="25" hidden="false" customHeight="true" outlineLevel="0" collapsed="false">
      <c r="A7" s="1"/>
      <c r="B7" s="12"/>
      <c r="C7" s="12"/>
      <c r="D7" s="12"/>
      <c r="E7" s="12"/>
      <c r="F7" s="12"/>
      <c r="G7" s="12"/>
      <c r="H7" s="12"/>
      <c r="I7" s="12"/>
      <c r="J7" s="12"/>
      <c r="K7" s="12"/>
    </row>
    <row r="8" customFormat="false" ht="25" hidden="false" customHeight="true" outlineLevel="0" collapsed="false">
      <c r="A8" s="1"/>
      <c r="B8" s="1"/>
      <c r="C8" s="3"/>
      <c r="D8" s="3"/>
      <c r="E8" s="3"/>
      <c r="F8" s="3"/>
      <c r="G8" s="3"/>
      <c r="H8" s="3"/>
      <c r="I8" s="3"/>
      <c r="J8" s="3"/>
      <c r="K8" s="3"/>
    </row>
    <row r="9" customFormat="false" ht="25" hidden="false" customHeight="true" outlineLevel="0" collapsed="false">
      <c r="A9" s="1"/>
      <c r="B9" s="12" t="s">
        <v>97</v>
      </c>
      <c r="C9" s="12"/>
      <c r="D9" s="12"/>
      <c r="E9" s="12"/>
      <c r="F9" s="12"/>
      <c r="G9" s="12"/>
      <c r="H9" s="12"/>
      <c r="I9" s="12"/>
      <c r="J9" s="12"/>
      <c r="K9" s="12"/>
    </row>
    <row r="10" customFormat="false" ht="25" hidden="false" customHeight="true" outlineLevel="0" collapsed="false">
      <c r="A10" s="1"/>
      <c r="B10" s="12"/>
      <c r="C10" s="12"/>
      <c r="D10" s="12"/>
      <c r="E10" s="12"/>
      <c r="F10" s="12"/>
      <c r="G10" s="12"/>
      <c r="H10" s="12"/>
      <c r="I10" s="12"/>
      <c r="J10" s="12"/>
      <c r="K10" s="12"/>
    </row>
    <row r="11" customFormat="false" ht="25" hidden="false" customHeight="true" outlineLevel="0" collapsed="false">
      <c r="A11" s="1"/>
      <c r="B11" s="1"/>
      <c r="C11" s="3"/>
      <c r="D11" s="3"/>
      <c r="E11" s="3"/>
      <c r="F11" s="3"/>
      <c r="G11" s="3"/>
      <c r="H11" s="3"/>
      <c r="I11" s="3"/>
      <c r="J11" s="3"/>
      <c r="K11" s="3"/>
    </row>
    <row r="12" customFormat="false" ht="25" hidden="false" customHeight="true" outlineLevel="0" collapsed="false">
      <c r="A12" s="1"/>
      <c r="B12" s="12" t="s">
        <v>98</v>
      </c>
      <c r="C12" s="12"/>
      <c r="D12" s="12"/>
      <c r="E12" s="12"/>
      <c r="F12" s="12"/>
      <c r="G12" s="12"/>
      <c r="H12" s="12"/>
      <c r="I12" s="12"/>
      <c r="J12" s="12"/>
      <c r="K12" s="12"/>
    </row>
    <row r="13" customFormat="false" ht="25" hidden="false" customHeight="true" outlineLevel="0" collapsed="false">
      <c r="A13" s="1"/>
      <c r="B13" s="12"/>
      <c r="C13" s="12"/>
      <c r="D13" s="12"/>
      <c r="E13" s="12"/>
      <c r="F13" s="12"/>
      <c r="G13" s="12"/>
      <c r="H13" s="12"/>
      <c r="I13" s="12"/>
      <c r="J13" s="12"/>
      <c r="K13" s="12"/>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2" t="s">
        <v>99</v>
      </c>
      <c r="C15" s="12"/>
      <c r="D15" s="12"/>
      <c r="E15" s="12"/>
      <c r="F15" s="12"/>
      <c r="G15" s="12"/>
      <c r="H15" s="12"/>
      <c r="I15" s="12"/>
      <c r="J15" s="12"/>
      <c r="K15" s="12"/>
    </row>
    <row r="16" customFormat="false" ht="25" hidden="false" customHeight="true" outlineLevel="0" collapsed="false">
      <c r="A16" s="1"/>
      <c r="B16" s="12"/>
      <c r="C16" s="12"/>
      <c r="D16" s="12"/>
      <c r="E16" s="12"/>
      <c r="F16" s="12"/>
      <c r="G16" s="12"/>
      <c r="H16" s="12"/>
      <c r="I16" s="12"/>
      <c r="J16" s="12"/>
      <c r="K16" s="12"/>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2" t="s">
        <v>100</v>
      </c>
      <c r="C19" s="12"/>
      <c r="D19" s="12"/>
      <c r="E19" s="12"/>
      <c r="F19" s="12"/>
      <c r="G19" s="12"/>
      <c r="H19" s="12"/>
      <c r="I19" s="12"/>
      <c r="J19" s="12"/>
      <c r="K19" s="12"/>
    </row>
    <row r="20" customFormat="false" ht="25" hidden="false" customHeight="true" outlineLevel="0" collapsed="false">
      <c r="A20" s="1"/>
      <c r="B20" s="12"/>
      <c r="C20" s="12"/>
      <c r="D20" s="12"/>
      <c r="E20" s="12"/>
      <c r="F20" s="12"/>
      <c r="G20" s="12"/>
      <c r="H20" s="12"/>
      <c r="I20" s="12"/>
      <c r="J20" s="12"/>
      <c r="K20" s="12"/>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7">
    <mergeCell ref="B2:K3"/>
    <mergeCell ref="B4:K4"/>
    <mergeCell ref="B6:K7"/>
    <mergeCell ref="B9:K10"/>
    <mergeCell ref="B12:K13"/>
    <mergeCell ref="B15:K16"/>
    <mergeCell ref="B19:K2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LibreOfficeDev/26.8.0.0.alpha0$Linux_X86_64 LibreOffice_project/2c87e51eeaa2b413ff4ae097b2705eea1995d8e5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cp:revision>0</cp:revision>
  <dc:subject/>
  <dc:title/>
</cp:coreProperties>
</file>