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ssumptions" sheetId="2" state="visible" r:id="rId4"/>
    <sheet name="Waterfall" sheetId="3" state="visible" r:id="rId5"/>
    <sheet name="Sensitivity" sheetId="4" state="visible" r:id="rId6"/>
    <sheet name="Checks" sheetId="5" state="visible" r:id="rId7"/>
    <sheet name="ReadMe" sheetId="6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<sst xmlns="http://schemas.openxmlformats.org/spreadsheetml/2006/main" count="78" uniqueCount="69">
  <si>
    <t xml:space="preserve">JV Waterfalls</t>
  </si>
  <si>
    <t xml:space="preserve">FORMULAPLANET  •  EUR  •  v1.2  •  Illustrative inputs  •  Pre-tax</t>
  </si>
  <si>
    <t xml:space="preserve">Active case (1 base / 2 downside)</t>
  </si>
  <si>
    <t xml:space="preserve">Equity invested</t>
  </si>
  <si>
    <t xml:space="preserve">Equity distributed</t>
  </si>
  <si>
    <t xml:space="preserve">Annualized equity IRR</t>
  </si>
  <si>
    <t xml:space="preserve">Equity multiple / MOIC</t>
  </si>
  <si>
    <t xml:space="preserve">Net equity profit</t>
  </si>
  <si>
    <t xml:space="preserve">GP annual IRR</t>
  </si>
  <si>
    <t xml:space="preserve">LP unpaid capital at exit</t>
  </si>
  <si>
    <t xml:space="preserve">LP unpaid preferred return</t>
  </si>
  <si>
    <t xml:space="preserve">GP total distributions</t>
  </si>
  <si>
    <t xml:space="preserve">Select base / downside in Assumptions. Review Checks before relying on returns. The workbook is a planning tool; figures do not verify market data.</t>
  </si>
  <si>
    <t xml:space="preserve">Assumptions</t>
  </si>
  <si>
    <t xml:space="preserve">Case: 1 base / 2 downside</t>
  </si>
  <si>
    <t xml:space="preserve">Base</t>
  </si>
  <si>
    <t xml:space="preserve">Downside</t>
  </si>
  <si>
    <t xml:space="preserve">Active</t>
  </si>
  <si>
    <t xml:space="preserve">Total equity / subordinate capital</t>
  </si>
  <si>
    <t xml:space="preserve">Gross equity distributions at year 5</t>
  </si>
  <si>
    <t xml:space="preserve">Annual interim distributions</t>
  </si>
  <si>
    <t xml:space="preserve">LP / preferred contribution share</t>
  </si>
  <si>
    <t xml:space="preserve">Preferred annual return</t>
  </si>
  <si>
    <t xml:space="preserve">Second return hurdle</t>
  </si>
  <si>
    <t xml:space="preserve">Third return hurdle</t>
  </si>
  <si>
    <t xml:space="preserve">LP share: first promote tier</t>
  </si>
  <si>
    <t xml:space="preserve">LP share: second promote tier</t>
  </si>
  <si>
    <t xml:space="preserve">LP share: residual</t>
  </si>
  <si>
    <t xml:space="preserve">Mezz current cash coupon</t>
  </si>
  <si>
    <t xml:space="preserve">Mezz PIK coupon</t>
  </si>
  <si>
    <t xml:space="preserve">Senior debt at exit</t>
  </si>
  <si>
    <t xml:space="preserve">Asset sale value</t>
  </si>
  <si>
    <t xml:space="preserve">Asset cap rate for sensitivity</t>
  </si>
  <si>
    <t xml:space="preserve">Waterfall</t>
  </si>
  <si>
    <t xml:space="preserve">Year</t>
  </si>
  <si>
    <t xml:space="preserve">Total distributable cash</t>
  </si>
  <si>
    <t xml:space="preserve">LP initial contribution</t>
  </si>
  <si>
    <t xml:space="preserve">GP initial contribution</t>
  </si>
  <si>
    <t xml:space="preserve">LP capital outstanding, opening</t>
  </si>
  <si>
    <t xml:space="preserve">LP accrued preference, opening</t>
  </si>
  <si>
    <t xml:space="preserve">LP preference accrual</t>
  </si>
  <si>
    <t xml:space="preserve">LP preference paid</t>
  </si>
  <si>
    <t xml:space="preserve">LP capital returned</t>
  </si>
  <si>
    <t xml:space="preserve">GP capital returned</t>
  </si>
  <si>
    <t xml:space="preserve">LP closing capital</t>
  </si>
  <si>
    <t xml:space="preserve">LP closing unpaid preference</t>
  </si>
  <si>
    <t xml:space="preserve">Residual cash after pref / capital</t>
  </si>
  <si>
    <t xml:space="preserve">12% LP hurdle claim before distribution</t>
  </si>
  <si>
    <t xml:space="preserve">16% LP hurdle claim before distribution</t>
  </si>
  <si>
    <t xml:space="preserve">Tier 1 distributable cash</t>
  </si>
  <si>
    <t xml:space="preserve">Tier 2 distributable cash</t>
  </si>
  <si>
    <t xml:space="preserve">Residual tier distributable cash</t>
  </si>
  <si>
    <t xml:space="preserve">LP total distribution</t>
  </si>
  <si>
    <t xml:space="preserve">GP total distribution</t>
  </si>
  <si>
    <t xml:space="preserve">LP cash flow</t>
  </si>
  <si>
    <t xml:space="preserve">GP cash flow</t>
  </si>
  <si>
    <t xml:space="preserve">Sensitivity</t>
  </si>
  <si>
    <t xml:space="preserve">Gross value sensitivity: forward annual income vs capitalization / yield. This isolates valuation; it is not a full-model IRR sensitivity.</t>
  </si>
  <si>
    <t xml:space="preserve">Checks</t>
  </si>
  <si>
    <t xml:space="preserve">Distribution conservation (zero)</t>
  </si>
  <si>
    <t xml:space="preserve">LP capital reconciliation (zero)</t>
  </si>
  <si>
    <t xml:space="preserve">Preference reconciliation (zero)</t>
  </si>
  <si>
    <t xml:space="preserve">Dashboard IRR calculation</t>
  </si>
  <si>
    <t xml:space="preserve">ReadMe</t>
  </si>
  <si>
    <t xml:space="preserve">JV Waterfalls — editable, formula-driven underwriting workbook. Change the yellow / blue cells in Assumptions. Select case 2 for a downside through the same schedules.</t>
  </si>
  <si>
    <t xml:space="preserve">Inputs are illustrative, not researched market evidence. All values are EUR, nominal and before income tax / VAT. Acquisition costs are an explicit assumption. No macros, external links or hidden worksheets.</t>
  </si>
  <si>
    <t xml:space="preserve">Cash flow timing is stated on the forecast. Review financing covenants, operating assumptions and local taxes for your project. IRR may be undefined or non-unique for cash flows with multiple sign changes.</t>
  </si>
  <si>
    <t xml:space="preserve">Blue = editable input; green = linked assumption; dark = calculated output. Negative values are parenthesized. Checks are diagnostic only and do not drive the model. FormulaPlanet free-use licence: use and edit for your own organisation, studies and client analysis; do not sell or redistribute the original files.</t>
  </si>
  <si>
    <t xml:space="preserve">JV: European whole-deal waterfall. LP compounded 8% preference, LP capital, GP capital at exit; then 80/20 to 12% LP IRR, 70/30 to 16%, and 60/40 residual. Hurdle balances compound and deduct prior LP distributions. No catch-up or clawback; input distributions must already be after property-level debt.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</si>
</sst>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–"/>
    <numFmt numFmtId="166" formatCode="0.0%;\(0.0%\);\–"/>
    <numFmt numFmtId="167" formatCode="0.00\x"/>
    <numFmt numFmtId="168" formatCode="@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93D30"/>
      <name val="Arial"/>
      <family val="0"/>
      <charset val="1"/>
    </font>
    <font>
      <b val="true"/>
      <sz val="19"/>
      <color rgb="FFFFFFFF"/>
      <name val="Arial"/>
      <family val="0"/>
      <charset val="1"/>
    </font>
    <font>
      <b val="true"/>
      <sz val="11"/>
      <color rgb="FF193D30"/>
      <name val="Arial"/>
      <family val="0"/>
      <charset val="1"/>
    </font>
    <font>
      <sz val="11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93D30"/>
        <bgColor rgb="FF003300"/>
      </patternFill>
    </fill>
    <fill>
      <patternFill patternType="solid">
        <fgColor rgb="FFE7EFDF"/>
        <bgColor rgb="FFF2F5ED"/>
      </patternFill>
    </fill>
    <fill>
      <patternFill patternType="solid">
        <fgColor rgb="FFF2F5ED"/>
        <bgColor rgb="FFE7EFDF"/>
      </patternFill>
    </fill>
    <fill>
      <patternFill patternType="solid">
        <fgColor rgb="FFFFF6D6"/>
        <bgColor rgb="FFF2F5ED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name val="Arial"/>
        <charset val="1"/>
        <family val="0"/>
        <b val="1"/>
        <color rgb="FFB42318"/>
        <sz val="11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F2F5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7EFDF"/>
      <rgbColor rgb="FFFCE8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93D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4" t="s">
        <v>3</v>
      </c>
      <c r="C8" s="5" t="n">
        <f aca="false">-SUMIF(Waterfall!C29:H29,"&lt;0",Waterfall!C29:H29)</f>
        <v>3600000</v>
      </c>
      <c r="D8" s="6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7" t="s">
        <v>4</v>
      </c>
      <c r="C9" s="8" t="n">
        <f aca="false">SUMIF(Waterfall!C29:H29,"&gt;0",Waterfall!C29:H29)</f>
        <v>7506477.19146057</v>
      </c>
      <c r="D9" s="9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4" t="s">
        <v>5</v>
      </c>
      <c r="C10" s="10" t="n">
        <f aca="false">IF(AND(C8&gt;0,C9&gt;0),(1+IFERROR(IRR(Waterfall!C29:H29),IRR(Waterfall!C29:H29,0)))^1-1,"n.a.")</f>
        <v>0.167960789438762</v>
      </c>
      <c r="D10" s="6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7" t="s">
        <v>6</v>
      </c>
      <c r="C11" s="11" t="n">
        <f aca="false">IF(C8&gt;0,C9/C8,0)</f>
        <v>2.08513255318349</v>
      </c>
      <c r="D11" s="9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4" t="s">
        <v>7</v>
      </c>
      <c r="C12" s="5" t="n">
        <f aca="false">C9-C8</f>
        <v>3906477.19146057</v>
      </c>
      <c r="D12" s="6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4" t="s">
        <v>8</v>
      </c>
      <c r="C14" s="10" t="n">
        <f aca="false">IFERROR(IRR(Waterfall!C30:H30),IRR(Waterfall!C30:H30,0))</f>
        <v>0.264569840751122</v>
      </c>
      <c r="D14" s="6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7" t="s">
        <v>9</v>
      </c>
      <c r="C15" s="8" t="n">
        <f aca="false">Waterfall!H17</f>
        <v>0</v>
      </c>
      <c r="D15" s="9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4" t="s">
        <v>10</v>
      </c>
      <c r="C16" s="5" t="n">
        <f aca="false">Waterfall!H18</f>
        <v>0</v>
      </c>
      <c r="D16" s="6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7" t="s">
        <v>11</v>
      </c>
      <c r="C17" s="8" t="n">
        <f aca="false">SUM(Waterfall!C28:H28)</f>
        <v>1293522.80853943</v>
      </c>
      <c r="D17" s="9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2" t="s">
        <v>12</v>
      </c>
      <c r="C26" s="12"/>
      <c r="D26" s="12"/>
      <c r="E26" s="12"/>
      <c r="F26" s="12"/>
      <c r="G26" s="12"/>
      <c r="H26" s="12"/>
      <c r="I26" s="12"/>
      <c r="J26" s="12"/>
      <c r="K26" s="12"/>
    </row>
    <row r="27" customFormat="false" ht="25" hidden="false" customHeight="true" outlineLevel="0" collapsed="false">
      <c r="A27" s="1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26:K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13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/>
      <c r="C5" s="3"/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14</v>
      </c>
      <c r="C6" s="13" t="n">
        <v>1</v>
      </c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 t="s">
        <v>15</v>
      </c>
      <c r="D7" s="3" t="s">
        <v>16</v>
      </c>
      <c r="E7" s="3" t="s">
        <v>17</v>
      </c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18</v>
      </c>
      <c r="C8" s="14" t="n">
        <v>4000000</v>
      </c>
      <c r="D8" s="14" t="n">
        <v>4000000</v>
      </c>
      <c r="E8" s="3" t="n">
        <f aca="false">IF($C$6=2,D8,C8)</f>
        <v>4000000</v>
      </c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19</v>
      </c>
      <c r="C9" s="14" t="n">
        <v>8000000</v>
      </c>
      <c r="D9" s="14" t="n">
        <v>5000000</v>
      </c>
      <c r="E9" s="3" t="n">
        <f aca="false">IF($C$6=2,D9,C9)</f>
        <v>8000000</v>
      </c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20</v>
      </c>
      <c r="C10" s="14" t="n">
        <v>160000</v>
      </c>
      <c r="D10" s="14" t="n">
        <v>80000</v>
      </c>
      <c r="E10" s="3" t="n">
        <f aca="false">IF($C$6=2,D10,C10)</f>
        <v>160000</v>
      </c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 t="s">
        <v>21</v>
      </c>
      <c r="C11" s="15" t="n">
        <v>0.9</v>
      </c>
      <c r="D11" s="15" t="n">
        <v>0.9</v>
      </c>
      <c r="E11" s="16" t="n">
        <f aca="false">IF($C$6=2,D11,C11)</f>
        <v>0.9</v>
      </c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22</v>
      </c>
      <c r="C12" s="15" t="n">
        <v>0.08</v>
      </c>
      <c r="D12" s="15" t="n">
        <v>0.08</v>
      </c>
      <c r="E12" s="16" t="n">
        <f aca="false">IF($C$6=2,D12,C12)</f>
        <v>0.08</v>
      </c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 t="s">
        <v>23</v>
      </c>
      <c r="C13" s="15" t="n">
        <v>0.12</v>
      </c>
      <c r="D13" s="15" t="n">
        <v>0.12</v>
      </c>
      <c r="E13" s="16" t="n">
        <f aca="false">IF($C$6=2,D13,C13)</f>
        <v>0.12</v>
      </c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 t="s">
        <v>24</v>
      </c>
      <c r="C14" s="15" t="n">
        <v>0.16</v>
      </c>
      <c r="D14" s="15" t="n">
        <v>0.16</v>
      </c>
      <c r="E14" s="16" t="n">
        <f aca="false">IF($C$6=2,D14,C14)</f>
        <v>0.16</v>
      </c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 t="s">
        <v>25</v>
      </c>
      <c r="C15" s="15" t="n">
        <v>0.8</v>
      </c>
      <c r="D15" s="15" t="n">
        <v>0.8</v>
      </c>
      <c r="E15" s="16" t="n">
        <f aca="false">IF($C$6=2,D15,C15)</f>
        <v>0.8</v>
      </c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 t="s">
        <v>26</v>
      </c>
      <c r="C16" s="15" t="n">
        <v>0.7</v>
      </c>
      <c r="D16" s="15" t="n">
        <v>0.7</v>
      </c>
      <c r="E16" s="16" t="n">
        <f aca="false">IF($C$6=2,D16,C16)</f>
        <v>0.7</v>
      </c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 t="s">
        <v>27</v>
      </c>
      <c r="C17" s="15" t="n">
        <v>0.6</v>
      </c>
      <c r="D17" s="15" t="n">
        <v>0.6</v>
      </c>
      <c r="E17" s="16" t="n">
        <f aca="false">IF($C$6=2,D17,C17)</f>
        <v>0.6</v>
      </c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 t="s">
        <v>28</v>
      </c>
      <c r="C18" s="15" t="n">
        <v>0.07</v>
      </c>
      <c r="D18" s="15" t="n">
        <v>0.07</v>
      </c>
      <c r="E18" s="16" t="n">
        <f aca="false">IF($C$6=2,D18,C18)</f>
        <v>0.07</v>
      </c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 t="s">
        <v>29</v>
      </c>
      <c r="C19" s="15" t="n">
        <v>0.05</v>
      </c>
      <c r="D19" s="15" t="n">
        <v>0.05</v>
      </c>
      <c r="E19" s="16" t="n">
        <f aca="false">IF($C$6=2,D19,C19)</f>
        <v>0.05</v>
      </c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 t="s">
        <v>30</v>
      </c>
      <c r="C20" s="14" t="n">
        <v>7000000</v>
      </c>
      <c r="D20" s="14" t="n">
        <v>7000000</v>
      </c>
      <c r="E20" s="3" t="n">
        <f aca="false">IF($C$6=2,D20,C20)</f>
        <v>7000000</v>
      </c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 t="s">
        <v>31</v>
      </c>
      <c r="C21" s="14" t="n">
        <v>18000000</v>
      </c>
      <c r="D21" s="14" t="n">
        <v>10000000</v>
      </c>
      <c r="E21" s="3" t="n">
        <f aca="false">IF($C$6=2,D21,C21)</f>
        <v>18000000</v>
      </c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 t="s">
        <v>32</v>
      </c>
      <c r="C22" s="15" t="n">
        <v>0.06</v>
      </c>
      <c r="D22" s="15" t="n">
        <v>0.06</v>
      </c>
      <c r="E22" s="16" t="n">
        <f aca="false">IF($C$6=2,D22,C22)</f>
        <v>0.06</v>
      </c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dataValidations count="1">
    <dataValidation allowBlank="false" errorStyle="stop" operator="between" showDropDown="false" showErrorMessage="false" showInputMessage="false" sqref="C6" type="list">
      <formula1>"1,2"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34</v>
      </c>
      <c r="C6" s="3" t="n">
        <f aca="false">0</f>
        <v>0</v>
      </c>
      <c r="D6" s="3" t="n">
        <f aca="false">1</f>
        <v>1</v>
      </c>
      <c r="E6" s="3" t="n">
        <f aca="false">2</f>
        <v>2</v>
      </c>
      <c r="F6" s="3" t="n">
        <f aca="false">3</f>
        <v>3</v>
      </c>
      <c r="G6" s="3" t="n">
        <f aca="false">4</f>
        <v>4</v>
      </c>
      <c r="H6" s="3" t="n">
        <f aca="false">5</f>
        <v>5</v>
      </c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35</v>
      </c>
      <c r="C8" s="3" t="n">
        <f aca="false">0</f>
        <v>0</v>
      </c>
      <c r="D8" s="3" t="n">
        <f aca="false">Assumptions!$E$10+0</f>
        <v>160000</v>
      </c>
      <c r="E8" s="3" t="n">
        <f aca="false">Assumptions!$E$10+0</f>
        <v>160000</v>
      </c>
      <c r="F8" s="3" t="n">
        <f aca="false">Assumptions!$E$10+0</f>
        <v>160000</v>
      </c>
      <c r="G8" s="3" t="n">
        <f aca="false">Assumptions!$E$10+0</f>
        <v>160000</v>
      </c>
      <c r="H8" s="3" t="n">
        <f aca="false">Assumptions!$E$10+Assumptions!$E$9</f>
        <v>8160000</v>
      </c>
      <c r="I8" s="3"/>
      <c r="J8" s="3"/>
      <c r="K8" s="3"/>
    </row>
    <row r="9" customFormat="false" ht="25" hidden="false" customHeight="true" outlineLevel="0" collapsed="false">
      <c r="A9" s="1"/>
      <c r="B9" s="1" t="s">
        <v>36</v>
      </c>
      <c r="C9" s="3" t="n">
        <f aca="false">Assumptions!$E$8*Assumptions!$E$11</f>
        <v>3600000</v>
      </c>
      <c r="D9" s="3" t="n">
        <f aca="false">0</f>
        <v>0</v>
      </c>
      <c r="E9" s="3" t="n">
        <f aca="false">0</f>
        <v>0</v>
      </c>
      <c r="F9" s="3" t="n">
        <f aca="false">0</f>
        <v>0</v>
      </c>
      <c r="G9" s="3" t="n">
        <f aca="false">0</f>
        <v>0</v>
      </c>
      <c r="H9" s="3" t="n">
        <f aca="false">0</f>
        <v>0</v>
      </c>
      <c r="I9" s="3"/>
      <c r="J9" s="3"/>
      <c r="K9" s="3"/>
    </row>
    <row r="10" customFormat="false" ht="25" hidden="false" customHeight="true" outlineLevel="0" collapsed="false">
      <c r="A10" s="1"/>
      <c r="B10" s="1" t="s">
        <v>37</v>
      </c>
      <c r="C10" s="3" t="n">
        <f aca="false">Assumptions!$E$8*(1-Assumptions!$E$11)</f>
        <v>400000</v>
      </c>
      <c r="D10" s="3" t="n">
        <f aca="false">0</f>
        <v>0</v>
      </c>
      <c r="E10" s="3" t="n">
        <f aca="false">0</f>
        <v>0</v>
      </c>
      <c r="F10" s="3" t="n">
        <f aca="false">0</f>
        <v>0</v>
      </c>
      <c r="G10" s="3" t="n">
        <f aca="false">0</f>
        <v>0</v>
      </c>
      <c r="H10" s="3" t="n">
        <f aca="false">0</f>
        <v>0</v>
      </c>
      <c r="I10" s="3"/>
      <c r="J10" s="3"/>
      <c r="K10" s="3"/>
    </row>
    <row r="11" customFormat="false" ht="25" hidden="false" customHeight="true" outlineLevel="0" collapsed="false">
      <c r="A11" s="1"/>
      <c r="B11" s="1" t="s">
        <v>38</v>
      </c>
      <c r="C11" s="3" t="n">
        <f aca="false">0</f>
        <v>0</v>
      </c>
      <c r="D11" s="3" t="n">
        <f aca="false">C17</f>
        <v>3600000</v>
      </c>
      <c r="E11" s="3" t="n">
        <f aca="false">D17</f>
        <v>3600000</v>
      </c>
      <c r="F11" s="3" t="n">
        <f aca="false">E17</f>
        <v>3600000</v>
      </c>
      <c r="G11" s="3" t="n">
        <f aca="false">F17</f>
        <v>3600000</v>
      </c>
      <c r="H11" s="3" t="n">
        <f aca="false">G17</f>
        <v>3600000</v>
      </c>
      <c r="I11" s="3"/>
      <c r="J11" s="3"/>
      <c r="K11" s="3"/>
    </row>
    <row r="12" customFormat="false" ht="25" hidden="false" customHeight="true" outlineLevel="0" collapsed="false">
      <c r="A12" s="1"/>
      <c r="B12" s="1" t="s">
        <v>39</v>
      </c>
      <c r="C12" s="3" t="n">
        <f aca="false">0</f>
        <v>0</v>
      </c>
      <c r="D12" s="3" t="n">
        <f aca="false">C18</f>
        <v>0</v>
      </c>
      <c r="E12" s="3" t="n">
        <f aca="false">D18</f>
        <v>128000</v>
      </c>
      <c r="F12" s="3" t="n">
        <f aca="false">E18</f>
        <v>266240</v>
      </c>
      <c r="G12" s="3" t="n">
        <f aca="false">F18</f>
        <v>415539.2</v>
      </c>
      <c r="H12" s="3" t="n">
        <f aca="false">G18</f>
        <v>576782.336</v>
      </c>
      <c r="I12" s="3"/>
      <c r="J12" s="3"/>
      <c r="K12" s="3"/>
    </row>
    <row r="13" customFormat="false" ht="25" hidden="false" customHeight="true" outlineLevel="0" collapsed="false">
      <c r="A13" s="1"/>
      <c r="B13" s="1" t="s">
        <v>40</v>
      </c>
      <c r="C13" s="3" t="n">
        <f aca="false">0</f>
        <v>0</v>
      </c>
      <c r="D13" s="3" t="n">
        <f aca="false">(D11+D12)*Assumptions!$E$12</f>
        <v>288000</v>
      </c>
      <c r="E13" s="3" t="n">
        <f aca="false">(E11+E12)*Assumptions!$E$12</f>
        <v>298240</v>
      </c>
      <c r="F13" s="3" t="n">
        <f aca="false">(F11+F12)*Assumptions!$E$12</f>
        <v>309299.2</v>
      </c>
      <c r="G13" s="3" t="n">
        <f aca="false">(G11+G12)*Assumptions!$E$12</f>
        <v>321243.136</v>
      </c>
      <c r="H13" s="3" t="n">
        <f aca="false">(H11+H12)*Assumptions!$E$12</f>
        <v>334142.58688</v>
      </c>
      <c r="I13" s="3"/>
      <c r="J13" s="3"/>
      <c r="K13" s="3"/>
    </row>
    <row r="14" customFormat="false" ht="25" hidden="false" customHeight="true" outlineLevel="0" collapsed="false">
      <c r="A14" s="1"/>
      <c r="B14" s="1" t="s">
        <v>41</v>
      </c>
      <c r="C14" s="3" t="n">
        <f aca="false">MIN(C8,SUM(C12:C13))</f>
        <v>0</v>
      </c>
      <c r="D14" s="3" t="n">
        <f aca="false">MIN(D8,SUM(D12:D13))</f>
        <v>160000</v>
      </c>
      <c r="E14" s="3" t="n">
        <f aca="false">MIN(E8,SUM(E12:E13))</f>
        <v>160000</v>
      </c>
      <c r="F14" s="3" t="n">
        <f aca="false">MIN(F8,SUM(F12:F13))</f>
        <v>160000</v>
      </c>
      <c r="G14" s="3" t="n">
        <f aca="false">MIN(G8,SUM(G12:G13))</f>
        <v>160000</v>
      </c>
      <c r="H14" s="3" t="n">
        <f aca="false">MIN(H8,SUM(H12:H13))</f>
        <v>910924.92288</v>
      </c>
      <c r="I14" s="3"/>
      <c r="J14" s="3"/>
      <c r="K14" s="3"/>
    </row>
    <row r="15" customFormat="false" ht="25" hidden="false" customHeight="true" outlineLevel="0" collapsed="false">
      <c r="A15" s="1"/>
      <c r="B15" s="1" t="s">
        <v>42</v>
      </c>
      <c r="C15" s="3" t="n">
        <f aca="false">MIN(C11,MAX(0,C8-C14))</f>
        <v>0</v>
      </c>
      <c r="D15" s="3" t="n">
        <f aca="false">MIN(D11,MAX(0,D8-D14))</f>
        <v>0</v>
      </c>
      <c r="E15" s="3" t="n">
        <f aca="false">MIN(E11,MAX(0,E8-E14))</f>
        <v>0</v>
      </c>
      <c r="F15" s="3" t="n">
        <f aca="false">MIN(F11,MAX(0,F8-F14))</f>
        <v>0</v>
      </c>
      <c r="G15" s="3" t="n">
        <f aca="false">MIN(G11,MAX(0,G8-G14))</f>
        <v>0</v>
      </c>
      <c r="H15" s="3" t="n">
        <f aca="false">MIN(H11,MAX(0,H8-H14))</f>
        <v>3600000</v>
      </c>
      <c r="I15" s="3"/>
      <c r="J15" s="3"/>
      <c r="K15" s="3"/>
    </row>
    <row r="16" customFormat="false" ht="25" hidden="false" customHeight="true" outlineLevel="0" collapsed="false">
      <c r="A16" s="1"/>
      <c r="B16" s="1" t="s">
        <v>43</v>
      </c>
      <c r="C16" s="3" t="n">
        <f aca="false">0</f>
        <v>0</v>
      </c>
      <c r="D16" s="3" t="n">
        <f aca="false">0</f>
        <v>0</v>
      </c>
      <c r="E16" s="3" t="n">
        <f aca="false">0</f>
        <v>0</v>
      </c>
      <c r="F16" s="3" t="n">
        <f aca="false">0</f>
        <v>0</v>
      </c>
      <c r="G16" s="3" t="n">
        <f aca="false">0</f>
        <v>0</v>
      </c>
      <c r="H16" s="3" t="n">
        <f aca="false">MIN(MAX(0,H8-SUM(H14:H15)),Assumptions!$E$8*(1-Assumptions!$E$11))</f>
        <v>400000</v>
      </c>
      <c r="I16" s="3"/>
      <c r="J16" s="3"/>
      <c r="K16" s="3"/>
    </row>
    <row r="17" customFormat="false" ht="25" hidden="false" customHeight="true" outlineLevel="0" collapsed="false">
      <c r="A17" s="1"/>
      <c r="B17" s="1" t="s">
        <v>44</v>
      </c>
      <c r="C17" s="3" t="n">
        <f aca="false">SUM(C9,C11)-C15</f>
        <v>3600000</v>
      </c>
      <c r="D17" s="3" t="n">
        <f aca="false">SUM(D9,D11)-D15</f>
        <v>3600000</v>
      </c>
      <c r="E17" s="3" t="n">
        <f aca="false">SUM(E9,E11)-E15</f>
        <v>3600000</v>
      </c>
      <c r="F17" s="3" t="n">
        <f aca="false">SUM(F9,F11)-F15</f>
        <v>3600000</v>
      </c>
      <c r="G17" s="3" t="n">
        <f aca="false">SUM(G9,G11)-G15</f>
        <v>3600000</v>
      </c>
      <c r="H17" s="3" t="n">
        <f aca="false">SUM(H9,H11)-H15</f>
        <v>0</v>
      </c>
      <c r="I17" s="3"/>
      <c r="J17" s="3"/>
      <c r="K17" s="3"/>
    </row>
    <row r="18" customFormat="false" ht="25" hidden="false" customHeight="true" outlineLevel="0" collapsed="false">
      <c r="A18" s="1"/>
      <c r="B18" s="1" t="s">
        <v>45</v>
      </c>
      <c r="C18" s="3" t="n">
        <f aca="false">SUM(C12:C13)-C14</f>
        <v>0</v>
      </c>
      <c r="D18" s="3" t="n">
        <f aca="false">SUM(D12:D13)-D14</f>
        <v>128000</v>
      </c>
      <c r="E18" s="3" t="n">
        <f aca="false">SUM(E12:E13)-E14</f>
        <v>266240</v>
      </c>
      <c r="F18" s="3" t="n">
        <f aca="false">SUM(F12:F13)-F14</f>
        <v>415539.2</v>
      </c>
      <c r="G18" s="3" t="n">
        <f aca="false">SUM(G12:G13)-G14</f>
        <v>576782.336</v>
      </c>
      <c r="H18" s="3" t="n">
        <f aca="false">SUM(H12:H13)-H14</f>
        <v>0</v>
      </c>
      <c r="I18" s="3"/>
      <c r="J18" s="3"/>
      <c r="K18" s="3"/>
    </row>
    <row r="19" customFormat="false" ht="25" hidden="false" customHeight="true" outlineLevel="0" collapsed="false">
      <c r="A19" s="1"/>
      <c r="B19" s="1" t="s">
        <v>46</v>
      </c>
      <c r="C19" s="3" t="n">
        <f aca="false">MAX(0,C8-SUM(C14:C16))</f>
        <v>0</v>
      </c>
      <c r="D19" s="3" t="n">
        <f aca="false">MAX(0,D8-SUM(D14:D16))</f>
        <v>0</v>
      </c>
      <c r="E19" s="3" t="n">
        <f aca="false">MAX(0,E8-SUM(E14:E16))</f>
        <v>0</v>
      </c>
      <c r="F19" s="3" t="n">
        <f aca="false">MAX(0,F8-SUM(F14:F16))</f>
        <v>0</v>
      </c>
      <c r="G19" s="3" t="n">
        <f aca="false">MAX(0,G8-SUM(G14:G16))</f>
        <v>0</v>
      </c>
      <c r="H19" s="3" t="n">
        <f aca="false">MAX(0,H8-SUM(H14:H16))</f>
        <v>3249075.07712</v>
      </c>
      <c r="I19" s="3"/>
      <c r="J19" s="3"/>
      <c r="K19" s="3"/>
    </row>
    <row r="20" customFormat="false" ht="25" hidden="false" customHeight="true" outlineLevel="0" collapsed="false">
      <c r="A20" s="1"/>
      <c r="B20" s="1" t="s">
        <v>47</v>
      </c>
      <c r="C20" s="3" t="n">
        <f aca="false">C9</f>
        <v>3600000</v>
      </c>
      <c r="D20" s="3" t="n">
        <f aca="false">MAX(0,(C20-C27)*(1+Assumptions!$E$13))</f>
        <v>4032000</v>
      </c>
      <c r="E20" s="3" t="n">
        <f aca="false">MAX(0,(D20-D27)*(1+Assumptions!$E$13))</f>
        <v>4336640</v>
      </c>
      <c r="F20" s="3" t="n">
        <f aca="false">MAX(0,(E20-E27)*(1+Assumptions!$E$13))</f>
        <v>4677836.8</v>
      </c>
      <c r="G20" s="3" t="n">
        <f aca="false">MAX(0,(F20-F27)*(1+Assumptions!$E$13))</f>
        <v>5059977.216</v>
      </c>
      <c r="H20" s="3" t="n">
        <f aca="false">MAX(0,(G20-G27)*(1+Assumptions!$E$13))</f>
        <v>5487974.48192</v>
      </c>
      <c r="I20" s="3"/>
      <c r="J20" s="3"/>
      <c r="K20" s="3"/>
    </row>
    <row r="21" customFormat="false" ht="25" hidden="false" customHeight="true" outlineLevel="0" collapsed="false">
      <c r="A21" s="1"/>
      <c r="B21" s="1" t="s">
        <v>48</v>
      </c>
      <c r="C21" s="3" t="n">
        <f aca="false">C9</f>
        <v>3600000</v>
      </c>
      <c r="D21" s="3" t="n">
        <f aca="false">MAX(0,(C21-C27)*(1+Assumptions!$E$14))</f>
        <v>4176000</v>
      </c>
      <c r="E21" s="3" t="n">
        <f aca="false">MAX(0,(D21-D27)*(1+Assumptions!$E$14))</f>
        <v>4658560</v>
      </c>
      <c r="F21" s="3" t="n">
        <f aca="false">MAX(0,(E21-E27)*(1+Assumptions!$E$14))</f>
        <v>5218329.6</v>
      </c>
      <c r="G21" s="3" t="n">
        <f aca="false">MAX(0,(F21-F27)*(1+Assumptions!$E$14))</f>
        <v>5867662.336</v>
      </c>
      <c r="H21" s="3" t="n">
        <f aca="false">MAX(0,(G21-G27)*(1+Assumptions!$E$14))</f>
        <v>6620888.30976</v>
      </c>
      <c r="I21" s="3"/>
      <c r="J21" s="3"/>
      <c r="K21" s="3"/>
    </row>
    <row r="22" customFormat="false" ht="25" hidden="false" customHeight="true" outlineLevel="0" collapsed="false">
      <c r="A22" s="1"/>
      <c r="B22" s="1" t="s">
        <v>49</v>
      </c>
      <c r="C22" s="3" t="n">
        <f aca="false">MIN(C19,MAX(0,C20-SUM(C14:C15))/Assumptions!$E$15)</f>
        <v>0</v>
      </c>
      <c r="D22" s="3" t="n">
        <f aca="false">MIN(D19,MAX(0,D20-SUM(D14:D15))/Assumptions!$E$15)</f>
        <v>0</v>
      </c>
      <c r="E22" s="3" t="n">
        <f aca="false">MIN(E19,MAX(0,E20-SUM(E14:E15))/Assumptions!$E$15)</f>
        <v>0</v>
      </c>
      <c r="F22" s="3" t="n">
        <f aca="false">MIN(F19,MAX(0,F20-SUM(F14:F15))/Assumptions!$E$15)</f>
        <v>0</v>
      </c>
      <c r="G22" s="3" t="n">
        <f aca="false">MIN(G19,MAX(0,G20-SUM(G14:G15))/Assumptions!$E$15)</f>
        <v>0</v>
      </c>
      <c r="H22" s="3" t="n">
        <f aca="false">MIN(H19,MAX(0,H20-SUM(H14:H15))/Assumptions!$E$15)</f>
        <v>1221311.94880001</v>
      </c>
      <c r="I22" s="3"/>
      <c r="J22" s="3"/>
      <c r="K22" s="3"/>
    </row>
    <row r="23" customFormat="false" ht="25" hidden="false" customHeight="true" outlineLevel="0" collapsed="false">
      <c r="A23" s="1"/>
      <c r="B23" s="1" t="s">
        <v>50</v>
      </c>
      <c r="C23" s="3" t="n">
        <f aca="false">MIN(MAX(0,C19-C22),MAX(0,C21-SUM(C14:C15)-C22*Assumptions!$E$15)/Assumptions!$E$16)</f>
        <v>0</v>
      </c>
      <c r="D23" s="3" t="n">
        <f aca="false">MIN(MAX(0,D19-D22),MAX(0,D21-SUM(D14:D15)-D22*Assumptions!$E$15)/Assumptions!$E$16)</f>
        <v>0</v>
      </c>
      <c r="E23" s="3" t="n">
        <f aca="false">MIN(MAX(0,E19-E22),MAX(0,E21-SUM(E14:E15)-E22*Assumptions!$E$15)/Assumptions!$E$16)</f>
        <v>0</v>
      </c>
      <c r="F23" s="3" t="n">
        <f aca="false">MIN(MAX(0,F19-F22),MAX(0,F21-SUM(F14:F15)-F22*Assumptions!$E$15)/Assumptions!$E$16)</f>
        <v>0</v>
      </c>
      <c r="G23" s="3" t="n">
        <f aca="false">MIN(MAX(0,G19-G22),MAX(0,G21-SUM(G14:G15)-G22*Assumptions!$E$15)/Assumptions!$E$16)</f>
        <v>0</v>
      </c>
      <c r="H23" s="3" t="n">
        <f aca="false">MIN(MAX(0,H19-H22),MAX(0,H21-SUM(H14:H15)-H22*Assumptions!$E$15)/Assumptions!$E$16)</f>
        <v>1618448.32548571</v>
      </c>
      <c r="I23" s="3"/>
      <c r="J23" s="3"/>
      <c r="K23" s="3"/>
    </row>
    <row r="24" customFormat="false" ht="25" hidden="false" customHeight="true" outlineLevel="0" collapsed="false">
      <c r="A24" s="1"/>
      <c r="B24" s="1" t="s">
        <v>51</v>
      </c>
      <c r="C24" s="3" t="n">
        <f aca="false">MAX(0,C19-SUM(C22:C23))</f>
        <v>0</v>
      </c>
      <c r="D24" s="3" t="n">
        <f aca="false">MAX(0,D19-SUM(D22:D23))</f>
        <v>0</v>
      </c>
      <c r="E24" s="3" t="n">
        <f aca="false">MAX(0,E19-SUM(E22:E23))</f>
        <v>0</v>
      </c>
      <c r="F24" s="3" t="n">
        <f aca="false">MAX(0,F19-SUM(F22:F23))</f>
        <v>0</v>
      </c>
      <c r="G24" s="3" t="n">
        <f aca="false">MAX(0,G19-SUM(G22:G23))</f>
        <v>0</v>
      </c>
      <c r="H24" s="3" t="n">
        <f aca="false">MAX(0,H19-SUM(H22:H23))</f>
        <v>409314.802834289</v>
      </c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 t="s">
        <v>52</v>
      </c>
      <c r="C27" s="3" t="n">
        <f aca="false">SUM(C14:C15)+C22*Assumptions!$E$15+C23*Assumptions!$E$16+C24*Assumptions!$E$17</f>
        <v>0</v>
      </c>
      <c r="D27" s="3" t="n">
        <f aca="false">SUM(D14:D15)+D22*Assumptions!$E$15+D23*Assumptions!$E$16+D24*Assumptions!$E$17</f>
        <v>160000</v>
      </c>
      <c r="E27" s="3" t="n">
        <f aca="false">SUM(E14:E15)+E22*Assumptions!$E$15+E23*Assumptions!$E$16+E24*Assumptions!$E$17</f>
        <v>160000</v>
      </c>
      <c r="F27" s="3" t="n">
        <f aca="false">SUM(F14:F15)+F22*Assumptions!$E$15+F23*Assumptions!$E$16+F24*Assumptions!$E$17</f>
        <v>160000</v>
      </c>
      <c r="G27" s="3" t="n">
        <f aca="false">SUM(G14:G15)+G22*Assumptions!$E$15+G23*Assumptions!$E$16+G24*Assumptions!$E$17</f>
        <v>160000</v>
      </c>
      <c r="H27" s="3" t="n">
        <f aca="false">SUM(H14:H15)+H22*Assumptions!$E$15+H23*Assumptions!$E$16+H24*Assumptions!$E$17</f>
        <v>6866477.19146057</v>
      </c>
      <c r="I27" s="3"/>
      <c r="J27" s="3"/>
      <c r="K27" s="3"/>
    </row>
    <row r="28" customFormat="false" ht="25" hidden="false" customHeight="true" outlineLevel="0" collapsed="false">
      <c r="A28" s="1"/>
      <c r="B28" s="1" t="s">
        <v>53</v>
      </c>
      <c r="C28" s="3" t="n">
        <f aca="false">C8-C27</f>
        <v>0</v>
      </c>
      <c r="D28" s="3" t="n">
        <f aca="false">D8-D27</f>
        <v>0</v>
      </c>
      <c r="E28" s="3" t="n">
        <f aca="false">E8-E27</f>
        <v>0</v>
      </c>
      <c r="F28" s="3" t="n">
        <f aca="false">F8-F27</f>
        <v>0</v>
      </c>
      <c r="G28" s="3" t="n">
        <f aca="false">G8-G27</f>
        <v>0</v>
      </c>
      <c r="H28" s="3" t="n">
        <f aca="false">H8-H27</f>
        <v>1293522.80853943</v>
      </c>
      <c r="I28" s="3"/>
      <c r="J28" s="3"/>
      <c r="K28" s="3"/>
    </row>
    <row r="29" customFormat="false" ht="25" hidden="false" customHeight="true" outlineLevel="0" collapsed="false">
      <c r="A29" s="1"/>
      <c r="B29" s="1" t="s">
        <v>54</v>
      </c>
      <c r="C29" s="3" t="n">
        <f aca="false">C27-C9</f>
        <v>-3600000</v>
      </c>
      <c r="D29" s="3" t="n">
        <f aca="false">D27-D9</f>
        <v>160000</v>
      </c>
      <c r="E29" s="3" t="n">
        <f aca="false">E27-E9</f>
        <v>160000</v>
      </c>
      <c r="F29" s="3" t="n">
        <f aca="false">F27-F9</f>
        <v>160000</v>
      </c>
      <c r="G29" s="3" t="n">
        <f aca="false">G27-G9</f>
        <v>160000</v>
      </c>
      <c r="H29" s="3" t="n">
        <f aca="false">H27-H9</f>
        <v>6866477.19146057</v>
      </c>
      <c r="I29" s="3"/>
      <c r="J29" s="3"/>
      <c r="K29" s="3"/>
    </row>
    <row r="30" customFormat="false" ht="25" hidden="false" customHeight="true" outlineLevel="0" collapsed="false">
      <c r="A30" s="1"/>
      <c r="B30" s="1" t="s">
        <v>55</v>
      </c>
      <c r="C30" s="3" t="n">
        <f aca="false">C28-C10</f>
        <v>-400000</v>
      </c>
      <c r="D30" s="3" t="n">
        <f aca="false">D28-D10</f>
        <v>0</v>
      </c>
      <c r="E30" s="3" t="n">
        <f aca="false">E28-E10</f>
        <v>0</v>
      </c>
      <c r="F30" s="3" t="n">
        <f aca="false">F28-F10</f>
        <v>0</v>
      </c>
      <c r="G30" s="3" t="n">
        <f aca="false">G28-G10</f>
        <v>0</v>
      </c>
      <c r="H30" s="3" t="n">
        <f aca="false">H28-H10</f>
        <v>1293522.80853943</v>
      </c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56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2" t="s">
        <v>57</v>
      </c>
      <c r="C6" s="12"/>
      <c r="D6" s="12"/>
      <c r="E6" s="12"/>
      <c r="F6" s="12"/>
      <c r="G6" s="12"/>
      <c r="H6" s="12"/>
      <c r="I6" s="12"/>
      <c r="J6" s="12"/>
      <c r="K6" s="12"/>
    </row>
    <row r="7" customFormat="false" ht="25" hidden="false" customHeight="true" outlineLevel="0" collapsed="false">
      <c r="A7" s="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/>
      <c r="C9" s="16" t="n">
        <f aca="false">Assumptions!$E$22+-0.01</f>
        <v>0.05</v>
      </c>
      <c r="D9" s="16" t="n">
        <f aca="false">Assumptions!$E$22+-0.005</f>
        <v>0.055</v>
      </c>
      <c r="E9" s="16" t="n">
        <f aca="false">Assumptions!$E$22+0</f>
        <v>0.06</v>
      </c>
      <c r="F9" s="16" t="n">
        <f aca="false">Assumptions!$E$22+0.005</f>
        <v>0.065</v>
      </c>
      <c r="G9" s="16" t="n">
        <f aca="false">Assumptions!$E$22+0.01</f>
        <v>0.07</v>
      </c>
      <c r="H9" s="3"/>
      <c r="I9" s="3"/>
      <c r="J9" s="3"/>
      <c r="K9" s="3"/>
    </row>
    <row r="10" customFormat="false" ht="25" hidden="false" customHeight="true" outlineLevel="0" collapsed="false">
      <c r="A10" s="1"/>
      <c r="B10" s="16" t="n">
        <v>-0.1</v>
      </c>
      <c r="C10" s="3" t="n">
        <f aca="false">Assumptions!$E$21*Assumptions!$E$22*(1+$B10)/C$9</f>
        <v>19440000</v>
      </c>
      <c r="D10" s="3" t="n">
        <f aca="false">Assumptions!$E$21*Assumptions!$E$22*(1+$B10)/D$9</f>
        <v>17672727.2727273</v>
      </c>
      <c r="E10" s="3" t="n">
        <f aca="false">Assumptions!$E$21*Assumptions!$E$22*(1+$B10)/E$9</f>
        <v>16200000</v>
      </c>
      <c r="F10" s="3" t="n">
        <f aca="false">Assumptions!$E$21*Assumptions!$E$22*(1+$B10)/F$9</f>
        <v>14953846.1538462</v>
      </c>
      <c r="G10" s="3" t="n">
        <f aca="false">Assumptions!$E$21*Assumptions!$E$22*(1+$B10)/G$9</f>
        <v>13885714.2857143</v>
      </c>
      <c r="H10" s="3"/>
      <c r="I10" s="3"/>
      <c r="J10" s="3"/>
      <c r="K10" s="3"/>
    </row>
    <row r="11" customFormat="false" ht="25" hidden="false" customHeight="true" outlineLevel="0" collapsed="false">
      <c r="A11" s="1"/>
      <c r="B11" s="16" t="n">
        <v>-0.05</v>
      </c>
      <c r="C11" s="3" t="n">
        <f aca="false">Assumptions!$E$21*Assumptions!$E$22*(1+$B11)/C$9</f>
        <v>20520000</v>
      </c>
      <c r="D11" s="3" t="n">
        <f aca="false">Assumptions!$E$21*Assumptions!$E$22*(1+$B11)/D$9</f>
        <v>18654545.4545455</v>
      </c>
      <c r="E11" s="3" t="n">
        <f aca="false">Assumptions!$E$21*Assumptions!$E$22*(1+$B11)/E$9</f>
        <v>17100000</v>
      </c>
      <c r="F11" s="3" t="n">
        <f aca="false">Assumptions!$E$21*Assumptions!$E$22*(1+$B11)/F$9</f>
        <v>15784615.3846154</v>
      </c>
      <c r="G11" s="3" t="n">
        <f aca="false">Assumptions!$E$21*Assumptions!$E$22*(1+$B11)/G$9</f>
        <v>14657142.8571429</v>
      </c>
      <c r="H11" s="3"/>
      <c r="I11" s="3"/>
      <c r="J11" s="3"/>
      <c r="K11" s="3"/>
    </row>
    <row r="12" customFormat="false" ht="25" hidden="false" customHeight="true" outlineLevel="0" collapsed="false">
      <c r="A12" s="1"/>
      <c r="B12" s="16" t="n">
        <v>0</v>
      </c>
      <c r="C12" s="3" t="n">
        <f aca="false">Assumptions!$E$21*Assumptions!$E$22*(1+$B12)/C$9</f>
        <v>21600000</v>
      </c>
      <c r="D12" s="3" t="n">
        <f aca="false">Assumptions!$E$21*Assumptions!$E$22*(1+$B12)/D$9</f>
        <v>19636363.6363636</v>
      </c>
      <c r="E12" s="3" t="n">
        <f aca="false">Assumptions!$E$21*Assumptions!$E$22*(1+$B12)/E$9</f>
        <v>18000000</v>
      </c>
      <c r="F12" s="3" t="n">
        <f aca="false">Assumptions!$E$21*Assumptions!$E$22*(1+$B12)/F$9</f>
        <v>16615384.6153846</v>
      </c>
      <c r="G12" s="3" t="n">
        <f aca="false">Assumptions!$E$21*Assumptions!$E$22*(1+$B12)/G$9</f>
        <v>15428571.4285714</v>
      </c>
      <c r="H12" s="3"/>
      <c r="I12" s="3"/>
      <c r="J12" s="3"/>
      <c r="K12" s="3"/>
    </row>
    <row r="13" customFormat="false" ht="25" hidden="false" customHeight="true" outlineLevel="0" collapsed="false">
      <c r="A13" s="1"/>
      <c r="B13" s="16" t="n">
        <v>0.05</v>
      </c>
      <c r="C13" s="3" t="n">
        <f aca="false">Assumptions!$E$21*Assumptions!$E$22*(1+$B13)/C$9</f>
        <v>22680000</v>
      </c>
      <c r="D13" s="3" t="n">
        <f aca="false">Assumptions!$E$21*Assumptions!$E$22*(1+$B13)/D$9</f>
        <v>20618181.8181818</v>
      </c>
      <c r="E13" s="3" t="n">
        <f aca="false">Assumptions!$E$21*Assumptions!$E$22*(1+$B13)/E$9</f>
        <v>18900000</v>
      </c>
      <c r="F13" s="3" t="n">
        <f aca="false">Assumptions!$E$21*Assumptions!$E$22*(1+$B13)/F$9</f>
        <v>17446153.8461538</v>
      </c>
      <c r="G13" s="3" t="n">
        <f aca="false">Assumptions!$E$21*Assumptions!$E$22*(1+$B13)/G$9</f>
        <v>16200000</v>
      </c>
      <c r="H13" s="3"/>
      <c r="I13" s="3"/>
      <c r="J13" s="3"/>
      <c r="K13" s="3"/>
    </row>
    <row r="14" customFormat="false" ht="25" hidden="false" customHeight="true" outlineLevel="0" collapsed="false">
      <c r="A14" s="1"/>
      <c r="B14" s="16" t="n">
        <v>0.1</v>
      </c>
      <c r="C14" s="3" t="n">
        <f aca="false">Assumptions!$E$21*Assumptions!$E$22*(1+$B14)/C$9</f>
        <v>23760000</v>
      </c>
      <c r="D14" s="3" t="n">
        <f aca="false">Assumptions!$E$21*Assumptions!$E$22*(1+$B14)/D$9</f>
        <v>21600000</v>
      </c>
      <c r="E14" s="3" t="n">
        <f aca="false">Assumptions!$E$21*Assumptions!$E$22*(1+$B14)/E$9</f>
        <v>19800000</v>
      </c>
      <c r="F14" s="3" t="n">
        <f aca="false">Assumptions!$E$21*Assumptions!$E$22*(1+$B14)/F$9</f>
        <v>18276923.0769231</v>
      </c>
      <c r="G14" s="3" t="n">
        <f aca="false">Assumptions!$E$21*Assumptions!$E$22*(1+$B14)/G$9</f>
        <v>16971428.5714286</v>
      </c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6:K7"/>
  </mergeCells>
  <conditionalFormatting sqref="C10:G14">
    <cfRule type="colorScale" priority="2">
      <colorScale>
        <cfvo type="min" val="0"/>
        <cfvo type="percentile" val="50"/>
        <cfvo type="max" val="0"/>
        <color rgb="FFF6E4D8"/>
        <color rgb="FFF5F7EF"/>
        <color rgb="FFC3DABA"/>
      </colorScale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58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59</v>
      </c>
      <c r="C8" s="3" t="n">
        <f aca="false">SUM(Waterfall!C8:H8)-SUM(Waterfall!C27:H28)</f>
        <v>0</v>
      </c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60</v>
      </c>
      <c r="C9" s="3" t="n">
        <f aca="false">SUM(Waterfall!C9:H9)-SUM(Waterfall!C15:H15)-Waterfall!H17</f>
        <v>0</v>
      </c>
      <c r="D9" s="3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61</v>
      </c>
      <c r="C10" s="3" t="n">
        <f aca="false">SUM(Waterfall!C13:H13)-SUM(Waterfall!C14:H14)-Waterfall!H18</f>
        <v>0</v>
      </c>
      <c r="D10" s="3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62</v>
      </c>
      <c r="C12" s="17" t="str">
        <f aca="false">IF(OR(ISERROR(Dashboard!C10),ISERROR(Dashboard!C14)),"IRR ERROR","OK")</f>
        <v>OK</v>
      </c>
      <c r="D12" s="3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conditionalFormatting sqref="C12">
    <cfRule type="cellIs" priority="2" operator="equal" aboveAverage="0" equalAverage="0" bottom="0" percent="0" rank="0" text="" dxfId="0">
      <formula>"IRR ERROR"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63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2" t="s">
        <v>64</v>
      </c>
      <c r="C6" s="12"/>
      <c r="D6" s="12"/>
      <c r="E6" s="12"/>
      <c r="F6" s="12"/>
      <c r="G6" s="12"/>
      <c r="H6" s="12"/>
      <c r="I6" s="12"/>
      <c r="J6" s="12"/>
      <c r="K6" s="12"/>
    </row>
    <row r="7" customFormat="false" ht="25" hidden="false" customHeight="true" outlineLevel="0" collapsed="false">
      <c r="A7" s="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2" t="s">
        <v>65</v>
      </c>
      <c r="C9" s="12"/>
      <c r="D9" s="12"/>
      <c r="E9" s="12"/>
      <c r="F9" s="12"/>
      <c r="G9" s="12"/>
      <c r="H9" s="12"/>
      <c r="I9" s="12"/>
      <c r="J9" s="12"/>
      <c r="K9" s="12"/>
    </row>
    <row r="10" customFormat="false" ht="25" hidden="false" customHeight="true" outlineLevel="0" collapsed="false">
      <c r="A10" s="1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2" t="s">
        <v>66</v>
      </c>
      <c r="C12" s="12"/>
      <c r="D12" s="12"/>
      <c r="E12" s="12"/>
      <c r="F12" s="12"/>
      <c r="G12" s="12"/>
      <c r="H12" s="12"/>
      <c r="I12" s="12"/>
      <c r="J12" s="12"/>
      <c r="K12" s="12"/>
    </row>
    <row r="13" customFormat="false" ht="25" hidden="false" customHeight="true" outlineLevel="0" collapsed="false">
      <c r="A13" s="1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2" t="s">
        <v>67</v>
      </c>
      <c r="C15" s="12"/>
      <c r="D15" s="12"/>
      <c r="E15" s="12"/>
      <c r="F15" s="12"/>
      <c r="G15" s="12"/>
      <c r="H15" s="12"/>
      <c r="I15" s="12"/>
      <c r="J15" s="12"/>
      <c r="K15" s="12"/>
    </row>
    <row r="16" customFormat="false" ht="25" hidden="false" customHeight="true" outlineLevel="0" collapsed="false">
      <c r="A16" s="1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2" t="s">
        <v>68</v>
      </c>
      <c r="C19" s="12"/>
      <c r="D19" s="12"/>
      <c r="E19" s="12"/>
      <c r="F19" s="12"/>
      <c r="G19" s="12"/>
      <c r="H19" s="12"/>
      <c r="I19" s="12"/>
      <c r="J19" s="12"/>
      <c r="K19" s="12"/>
    </row>
    <row r="20" customFormat="false" ht="25" hidden="false" customHeight="true" outlineLevel="0" collapsed="false">
      <c r="A20" s="1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7">
    <mergeCell ref="B2:K3"/>
    <mergeCell ref="B4:K4"/>
    <mergeCell ref="B6:K7"/>
    <mergeCell ref="B9:K10"/>
    <mergeCell ref="B12:K13"/>
    <mergeCell ref="B15:K16"/>
    <mergeCell ref="B19:K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