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Waterfall" sheetId="3" state="visible" r:id="rId5"/>
    <sheet name="Sensitivity" sheetId="4" state="visible" r:id="rId6"/>
    <sheet name="Checks" sheetId="5" state="visible" r:id="rId7"/>
    <sheet name="ReadMe" sheetId="6" state="visible" r:id="rId8"/>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<sst xmlns="http://schemas.openxmlformats.org/spreadsheetml/2006/main" count="60" uniqueCount="51">
  <si>
    <t xml:space="preserve">Mezzanine Debt</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</si>
  <si>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</si>
  <si>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</si>
  <si>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</si>
  <si>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</si>
  <si>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</si>
  <si>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</si>
  <si>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</si>
  <si>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Unrecovered claim at exit</t>
  </si>
  <si>
    <t xml:space="preserve">PIK interest accrued</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</si>
  <si>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</si>
  <si>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</si>
  <si>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</si>
  <si>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</si>
  <si>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</si>
  <si>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</si>
  <si>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Total equity / subordinate capital</t>
  </si>
  <si>
    <t xml:space="preserve">Gross equity distributions at year 5</t>
  </si>
  <si>
    <t xml:space="preserve">Annual interim distributions</t>
  </si>
  <si>
    <t xml:space="preserve">LP / preferred contribution share</t>
  </si>
  <si>
    <t xml:space="preserve">Preferred annual return</t>
  </si>
  <si>
    <t xml:space="preserve">Second return hurdle</t>
  </si>
  <si>
    <t xml:space="preserve">Third return hurdle</t>
  </si>
  <si>
    <t xml:space="preserve">LP share: first promote tier</t>
  </si>
  <si>
    <t xml:space="preserve">LP share: second promote tier</t>
  </si>
  <si>
    <t xml:space="preserve">LP share: residual</t>
  </si>
  <si>
    <t xml:space="preserve">Mezz current cash coupon</t>
  </si>
  <si>
    <t xml:space="preserve">Mezz PIK coupon</t>
  </si>
  <si>
    <t xml:space="preserve">Senior debt at exit</t>
  </si>
  <si>
    <t xml:space="preserve">Asset sale value</t>
  </si>
  <si>
    <t xml:space="preserve">Asset cap rate for sensitivity</t>
  </si>
  <si>
    <t xml:space="preserve">Waterfall</t>
  </si>
  <si>
    <t xml:space="preserve">Year</t>
  </si>
  <si>
    <t xml:space="preserve">Opening mezz principal</t>
  </si>
  <si>
    <t xml:space="preserve">Mezz investment</t>
  </si>
  <si>
    <t xml:space="preserve">PIK interest accrual</t>
  </si>
  <si>
    <t xml:space="preserve">Mezz principal recovery</t>
  </si>
  <si>
    <t xml:space="preserve">Closing mezz claim</t>
  </si>
  <si>
    <t xml:space="preserve">Current coupon received</t>
  </si>
  <si>
    <t xml:space="preserve">Mezz investor cash flow</t>
  </si>
  <si>
    <t xml:space="preserve">Sensitivity</t>
  </si>
  <si>
    <t xml:space="preserve">Gross value sensitivity: forward annual income vs capitalization / yield. This isolates valuation; it is not a full-model IRR sensitivity.</t>
  </si>
  <si>
    <t xml:space="preserve">Checks</t>
  </si>
  <si>
    <t xml:space="preserve">Mezz claim reconciliation (zero)</t>
  </si>
  <si>
    <t xml:space="preserve">Dashboard IRR calculation</t>
  </si>
  <si>
    <t xml:space="preserve">ReadMe</t>
  </si>
  <si>
    <t xml:space="preserve">Mezzanine Debt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</si>
  <si>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</si>
  <si>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</si>
  <si>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</si>
  <si>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Annual mezzanine model. PIK compounds on opening principal; current pay coupon is received annually. At exit senior principal is paid first, then mezz claim, then final coupon. Asset sale proceeds are assumed net of disposal costs. No interim senior debt schedule. Unrecovered mezz claims are losses, not fabricated distributions.</t>
  </si>
</sst>
</file>

<file path=xl/styles.xml><?xml version="1.0" encoding="utf-8"?>
<styleSheet xmlns="http://schemas.openxmlformats.org/spreadsheetml/2006/main">
  <numFmts count="5">
    <numFmt numFmtId="164" formatCode="General"/>
    <numFmt numFmtId="165" formatCode="#,##0;\(#,##0\);\–"/>
    <numFmt numFmtId="166" formatCode="0.0%;\(0.0%\);\–"/>
    <numFmt numFmtId="167" formatCode="0.00\x"/>
    <numFmt numFmtId="168"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8"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-SUMIF(Waterfall!C14:H14,"&lt;0",Waterfall!C14:H14)</f>
        <v>4000000</v>
      </c>
      <c r="D8" s="6"/>
      <c r="E8" s="3"/>
      <c r="F8" s="3"/>
      <c r="G8" s="3"/>
      <c r="H8" s="3"/>
      <c r="I8" s="3"/>
      <c r="J8" s="3"/>
      <c r="K8" s="3"/>
    </row>
    <row r="9" customFormat="false" ht="25" hidden="false" customHeight="true" outlineLevel="0" collapsed="false">
      <c r="A9" s="1"/>
      <c r="B9" s="7" t="s">
        <v>4</v>
      </c>
      <c r="C9" s="8" t="n">
        <f aca="false">SUMIF(Waterfall!C14:H14,"&gt;0",Waterfall!C14:H14)</f>
        <v>6652303</v>
      </c>
      <c r="D9" s="9"/>
      <c r="E9" s="3"/>
      <c r="F9" s="3"/>
      <c r="G9" s="3"/>
      <c r="H9" s="3"/>
      <c r="I9" s="3"/>
      <c r="J9" s="3"/>
      <c r="K9" s="3"/>
    </row>
    <row r="10" customFormat="false" ht="25" hidden="false" customHeight="true" outlineLevel="0" collapsed="false">
      <c r="A10" s="1"/>
      <c r="B10" s="4" t="s">
        <v>5</v>
      </c>
      <c r="C10" s="10" t="n">
        <f aca="false">IF(AND(C8&gt;0,C9&gt;0),(1+IFERROR(IRR(Waterfall!C14:H14),IRR(Waterfall!C14:H14,0)))^1-1,"n.a.")</f>
        <v>0.119999999959304</v>
      </c>
      <c r="D10" s="6"/>
      <c r="E10" s="3"/>
      <c r="F10" s="3"/>
      <c r="G10" s="3"/>
      <c r="H10" s="3"/>
      <c r="I10" s="3"/>
      <c r="J10" s="3"/>
      <c r="K10" s="3"/>
    </row>
    <row r="11" customFormat="false" ht="25" hidden="false" customHeight="true" outlineLevel="0" collapsed="false">
      <c r="A11" s="1"/>
      <c r="B11" s="7" t="s">
        <v>6</v>
      </c>
      <c r="C11" s="11" t="n">
        <f aca="false">IF(C8&gt;0,C9/C8,0)</f>
        <v>1.66307575</v>
      </c>
      <c r="D11" s="9"/>
      <c r="E11" s="3"/>
      <c r="F11" s="3"/>
      <c r="G11" s="3"/>
      <c r="H11" s="3"/>
      <c r="I11" s="3"/>
      <c r="J11" s="3"/>
      <c r="K11" s="3"/>
    </row>
    <row r="12" customFormat="false" ht="25" hidden="false" customHeight="true" outlineLevel="0" collapsed="false">
      <c r="A12" s="1"/>
      <c r="B12" s="4" t="s">
        <v>7</v>
      </c>
      <c r="C12" s="5" t="n">
        <f aca="false">C9-C8</f>
        <v>2652303</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7" t="s">
        <v>8</v>
      </c>
      <c r="C15" s="8" t="n">
        <f aca="false">Waterfall!H12</f>
        <v>0</v>
      </c>
      <c r="D15" s="9"/>
      <c r="E15" s="3"/>
      <c r="F15" s="3"/>
      <c r="G15" s="3"/>
      <c r="H15" s="3"/>
      <c r="I15" s="3"/>
      <c r="J15" s="3"/>
      <c r="K15" s="3"/>
    </row>
    <row r="16" customFormat="false" ht="25" hidden="false" customHeight="true" outlineLevel="0" collapsed="false">
      <c r="A16" s="1"/>
      <c r="B16" s="4" t="s">
        <v>9</v>
      </c>
      <c r="C16" s="5" t="n">
        <f aca="false">SUM(Waterfall!D10:H10)</f>
        <v>1105126.25</v>
      </c>
      <c r="D16" s="6"/>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10</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11</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12</v>
      </c>
      <c r="C6" s="13" t="n">
        <v>1</v>
      </c>
      <c r="D6" s="3"/>
      <c r="E6" s="3"/>
      <c r="F6" s="3"/>
      <c r="G6" s="3"/>
      <c r="H6" s="3"/>
      <c r="I6" s="3"/>
      <c r="J6" s="3"/>
      <c r="K6" s="3"/>
    </row>
    <row r="7" customFormat="false" ht="25" hidden="false" customHeight="true" outlineLevel="0" collapsed="false">
      <c r="A7" s="1"/>
      <c r="B7" s="1"/>
      <c r="C7" s="3" t="s">
        <v>13</v>
      </c>
      <c r="D7" s="3" t="s">
        <v>14</v>
      </c>
      <c r="E7" s="3" t="s">
        <v>15</v>
      </c>
      <c r="F7" s="3"/>
      <c r="G7" s="3"/>
      <c r="H7" s="3"/>
      <c r="I7" s="3"/>
      <c r="J7" s="3"/>
      <c r="K7" s="3"/>
    </row>
    <row r="8" customFormat="false" ht="25" hidden="false" customHeight="true" outlineLevel="0" collapsed="false">
      <c r="A8" s="1"/>
      <c r="B8" s="1" t="s">
        <v>16</v>
      </c>
      <c r="C8" s="14" t="n">
        <v>4000000</v>
      </c>
      <c r="D8" s="14" t="n">
        <v>4000000</v>
      </c>
      <c r="E8" s="3" t="n">
        <f aca="false">IF($C$6=2,D8,C8)</f>
        <v>4000000</v>
      </c>
      <c r="F8" s="3"/>
      <c r="G8" s="3"/>
      <c r="H8" s="3"/>
      <c r="I8" s="3"/>
      <c r="J8" s="3"/>
      <c r="K8" s="3"/>
    </row>
    <row r="9" customFormat="false" ht="25" hidden="false" customHeight="true" outlineLevel="0" collapsed="false">
      <c r="A9" s="1"/>
      <c r="B9" s="1" t="s">
        <v>17</v>
      </c>
      <c r="C9" s="14" t="n">
        <v>8000000</v>
      </c>
      <c r="D9" s="14" t="n">
        <v>5000000</v>
      </c>
      <c r="E9" s="3" t="n">
        <f aca="false">IF($C$6=2,D9,C9)</f>
        <v>8000000</v>
      </c>
      <c r="F9" s="3"/>
      <c r="G9" s="3"/>
      <c r="H9" s="3"/>
      <c r="I9" s="3"/>
      <c r="J9" s="3"/>
      <c r="K9" s="3"/>
    </row>
    <row r="10" customFormat="false" ht="25" hidden="false" customHeight="true" outlineLevel="0" collapsed="false">
      <c r="A10" s="1"/>
      <c r="B10" s="1" t="s">
        <v>18</v>
      </c>
      <c r="C10" s="14" t="n">
        <v>160000</v>
      </c>
      <c r="D10" s="14" t="n">
        <v>80000</v>
      </c>
      <c r="E10" s="3" t="n">
        <f aca="false">IF($C$6=2,D10,C10)</f>
        <v>160000</v>
      </c>
      <c r="F10" s="3"/>
      <c r="G10" s="3"/>
      <c r="H10" s="3"/>
      <c r="I10" s="3"/>
      <c r="J10" s="3"/>
      <c r="K10" s="3"/>
    </row>
    <row r="11" customFormat="false" ht="25" hidden="false" customHeight="true" outlineLevel="0" collapsed="false">
      <c r="A11" s="1"/>
      <c r="B11" s="1" t="s">
        <v>19</v>
      </c>
      <c r="C11" s="15" t="n">
        <v>0.9</v>
      </c>
      <c r="D11" s="15" t="n">
        <v>0.9</v>
      </c>
      <c r="E11" s="16" t="n">
        <f aca="false">IF($C$6=2,D11,C11)</f>
        <v>0.9</v>
      </c>
      <c r="F11" s="3"/>
      <c r="G11" s="3"/>
      <c r="H11" s="3"/>
      <c r="I11" s="3"/>
      <c r="J11" s="3"/>
      <c r="K11" s="3"/>
    </row>
    <row r="12" customFormat="false" ht="25" hidden="false" customHeight="true" outlineLevel="0" collapsed="false">
      <c r="A12" s="1"/>
      <c r="B12" s="1" t="s">
        <v>20</v>
      </c>
      <c r="C12" s="15" t="n">
        <v>0.08</v>
      </c>
      <c r="D12" s="15" t="n">
        <v>0.08</v>
      </c>
      <c r="E12" s="16" t="n">
        <f aca="false">IF($C$6=2,D12,C12)</f>
        <v>0.08</v>
      </c>
      <c r="F12" s="3"/>
      <c r="G12" s="3"/>
      <c r="H12" s="3"/>
      <c r="I12" s="3"/>
      <c r="J12" s="3"/>
      <c r="K12" s="3"/>
    </row>
    <row r="13" customFormat="false" ht="25" hidden="false" customHeight="true" outlineLevel="0" collapsed="false">
      <c r="A13" s="1"/>
      <c r="B13" s="1" t="s">
        <v>21</v>
      </c>
      <c r="C13" s="15" t="n">
        <v>0.12</v>
      </c>
      <c r="D13" s="15" t="n">
        <v>0.12</v>
      </c>
      <c r="E13" s="16" t="n">
        <f aca="false">IF($C$6=2,D13,C13)</f>
        <v>0.12</v>
      </c>
      <c r="F13" s="3"/>
      <c r="G13" s="3"/>
      <c r="H13" s="3"/>
      <c r="I13" s="3"/>
      <c r="J13" s="3"/>
      <c r="K13" s="3"/>
    </row>
    <row r="14" customFormat="false" ht="25" hidden="false" customHeight="true" outlineLevel="0" collapsed="false">
      <c r="A14" s="1"/>
      <c r="B14" s="1" t="s">
        <v>22</v>
      </c>
      <c r="C14" s="15" t="n">
        <v>0.16</v>
      </c>
      <c r="D14" s="15" t="n">
        <v>0.16</v>
      </c>
      <c r="E14" s="16" t="n">
        <f aca="false">IF($C$6=2,D14,C14)</f>
        <v>0.16</v>
      </c>
      <c r="F14" s="3"/>
      <c r="G14" s="3"/>
      <c r="H14" s="3"/>
      <c r="I14" s="3"/>
      <c r="J14" s="3"/>
      <c r="K14" s="3"/>
    </row>
    <row r="15" customFormat="false" ht="25" hidden="false" customHeight="true" outlineLevel="0" collapsed="false">
      <c r="A15" s="1"/>
      <c r="B15" s="1" t="s">
        <v>23</v>
      </c>
      <c r="C15" s="15" t="n">
        <v>0.8</v>
      </c>
      <c r="D15" s="15" t="n">
        <v>0.8</v>
      </c>
      <c r="E15" s="16" t="n">
        <f aca="false">IF($C$6=2,D15,C15)</f>
        <v>0.8</v>
      </c>
      <c r="F15" s="3"/>
      <c r="G15" s="3"/>
      <c r="H15" s="3"/>
      <c r="I15" s="3"/>
      <c r="J15" s="3"/>
      <c r="K15" s="3"/>
    </row>
    <row r="16" customFormat="false" ht="25" hidden="false" customHeight="true" outlineLevel="0" collapsed="false">
      <c r="A16" s="1"/>
      <c r="B16" s="1" t="s">
        <v>24</v>
      </c>
      <c r="C16" s="15" t="n">
        <v>0.7</v>
      </c>
      <c r="D16" s="15" t="n">
        <v>0.7</v>
      </c>
      <c r="E16" s="16" t="n">
        <f aca="false">IF($C$6=2,D16,C16)</f>
        <v>0.7</v>
      </c>
      <c r="F16" s="3"/>
      <c r="G16" s="3"/>
      <c r="H16" s="3"/>
      <c r="I16" s="3"/>
      <c r="J16" s="3"/>
      <c r="K16" s="3"/>
    </row>
    <row r="17" customFormat="false" ht="25" hidden="false" customHeight="true" outlineLevel="0" collapsed="false">
      <c r="A17" s="1"/>
      <c r="B17" s="1" t="s">
        <v>25</v>
      </c>
      <c r="C17" s="15" t="n">
        <v>0.6</v>
      </c>
      <c r="D17" s="15" t="n">
        <v>0.6</v>
      </c>
      <c r="E17" s="16" t="n">
        <f aca="false">IF($C$6=2,D17,C17)</f>
        <v>0.6</v>
      </c>
      <c r="F17" s="3"/>
      <c r="G17" s="3"/>
      <c r="H17" s="3"/>
      <c r="I17" s="3"/>
      <c r="J17" s="3"/>
      <c r="K17" s="3"/>
    </row>
    <row r="18" customFormat="false" ht="25" hidden="false" customHeight="true" outlineLevel="0" collapsed="false">
      <c r="A18" s="1"/>
      <c r="B18" s="1" t="s">
        <v>26</v>
      </c>
      <c r="C18" s="15" t="n">
        <v>0.07</v>
      </c>
      <c r="D18" s="15" t="n">
        <v>0.07</v>
      </c>
      <c r="E18" s="16" t="n">
        <f aca="false">IF($C$6=2,D18,C18)</f>
        <v>0.07</v>
      </c>
      <c r="F18" s="3"/>
      <c r="G18" s="3"/>
      <c r="H18" s="3"/>
      <c r="I18" s="3"/>
      <c r="J18" s="3"/>
      <c r="K18" s="3"/>
    </row>
    <row r="19" customFormat="false" ht="25" hidden="false" customHeight="true" outlineLevel="0" collapsed="false">
      <c r="A19" s="1"/>
      <c r="B19" s="1" t="s">
        <v>27</v>
      </c>
      <c r="C19" s="15" t="n">
        <v>0.05</v>
      </c>
      <c r="D19" s="15" t="n">
        <v>0.05</v>
      </c>
      <c r="E19" s="16" t="n">
        <f aca="false">IF($C$6=2,D19,C19)</f>
        <v>0.05</v>
      </c>
      <c r="F19" s="3"/>
      <c r="G19" s="3"/>
      <c r="H19" s="3"/>
      <c r="I19" s="3"/>
      <c r="J19" s="3"/>
      <c r="K19" s="3"/>
    </row>
    <row r="20" customFormat="false" ht="25" hidden="false" customHeight="true" outlineLevel="0" collapsed="false">
      <c r="A20" s="1"/>
      <c r="B20" s="1" t="s">
        <v>28</v>
      </c>
      <c r="C20" s="14" t="n">
        <v>7000000</v>
      </c>
      <c r="D20" s="14" t="n">
        <v>7000000</v>
      </c>
      <c r="E20" s="3" t="n">
        <f aca="false">IF($C$6=2,D20,C20)</f>
        <v>7000000</v>
      </c>
      <c r="F20" s="3"/>
      <c r="G20" s="3"/>
      <c r="H20" s="3"/>
      <c r="I20" s="3"/>
      <c r="J20" s="3"/>
      <c r="K20" s="3"/>
    </row>
    <row r="21" customFormat="false" ht="25" hidden="false" customHeight="true" outlineLevel="0" collapsed="false">
      <c r="A21" s="1"/>
      <c r="B21" s="1" t="s">
        <v>29</v>
      </c>
      <c r="C21" s="14" t="n">
        <v>18000000</v>
      </c>
      <c r="D21" s="14" t="n">
        <v>10000000</v>
      </c>
      <c r="E21" s="3" t="n">
        <f aca="false">IF($C$6=2,D21,C21)</f>
        <v>18000000</v>
      </c>
      <c r="F21" s="3"/>
      <c r="G21" s="3"/>
      <c r="H21" s="3"/>
      <c r="I21" s="3"/>
      <c r="J21" s="3"/>
      <c r="K21" s="3"/>
    </row>
    <row r="22" customFormat="false" ht="25" hidden="false" customHeight="true" outlineLevel="0" collapsed="false">
      <c r="A22" s="1"/>
      <c r="B22" s="1" t="s">
        <v>30</v>
      </c>
      <c r="C22" s="15" t="n">
        <v>0.06</v>
      </c>
      <c r="D22" s="15" t="n">
        <v>0.06</v>
      </c>
      <c r="E22" s="16" t="n">
        <f aca="false">IF($C$6=2,D22,C22)</f>
        <v>0.06</v>
      </c>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31</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32</v>
      </c>
      <c r="C6" s="3" t="n">
        <f aca="false">0</f>
        <v>0</v>
      </c>
      <c r="D6" s="3" t="n">
        <f aca="false">1</f>
        <v>1</v>
      </c>
      <c r="E6" s="3" t="n">
        <f aca="false">2</f>
        <v>2</v>
      </c>
      <c r="F6" s="3" t="n">
        <f aca="false">3</f>
        <v>3</v>
      </c>
      <c r="G6" s="3" t="n">
        <f aca="false">4</f>
        <v>4</v>
      </c>
      <c r="H6" s="3" t="n">
        <f aca="false">5</f>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33</v>
      </c>
      <c r="C8" s="3" t="n">
        <f aca="false">0</f>
        <v>0</v>
      </c>
      <c r="D8" s="3" t="n">
        <f aca="false">C12</f>
        <v>4000000</v>
      </c>
      <c r="E8" s="3" t="n">
        <f aca="false">D12</f>
        <v>4200000</v>
      </c>
      <c r="F8" s="3" t="n">
        <f aca="false">E12</f>
        <v>4410000</v>
      </c>
      <c r="G8" s="3" t="n">
        <f aca="false">F12</f>
        <v>4630500</v>
      </c>
      <c r="H8" s="3" t="n">
        <f aca="false">G12</f>
        <v>4862025</v>
      </c>
      <c r="I8" s="3"/>
      <c r="J8" s="3"/>
      <c r="K8" s="3"/>
    </row>
    <row r="9" customFormat="false" ht="25" hidden="false" customHeight="true" outlineLevel="0" collapsed="false">
      <c r="A9" s="1"/>
      <c r="B9" s="1" t="s">
        <v>34</v>
      </c>
      <c r="C9" s="3" t="n">
        <f aca="false">Assumptions!$E$8</f>
        <v>4000000</v>
      </c>
      <c r="D9" s="3" t="n">
        <f aca="false">0</f>
        <v>0</v>
      </c>
      <c r="E9" s="3" t="n">
        <f aca="false">0</f>
        <v>0</v>
      </c>
      <c r="F9" s="3" t="n">
        <f aca="false">0</f>
        <v>0</v>
      </c>
      <c r="G9" s="3" t="n">
        <f aca="false">0</f>
        <v>0</v>
      </c>
      <c r="H9" s="3" t="n">
        <f aca="false">0</f>
        <v>0</v>
      </c>
      <c r="I9" s="3"/>
      <c r="J9" s="3"/>
      <c r="K9" s="3"/>
    </row>
    <row r="10" customFormat="false" ht="25" hidden="false" customHeight="true" outlineLevel="0" collapsed="false">
      <c r="A10" s="1"/>
      <c r="B10" s="1" t="s">
        <v>35</v>
      </c>
      <c r="C10" s="3" t="n">
        <f aca="false">0</f>
        <v>0</v>
      </c>
      <c r="D10" s="3" t="n">
        <f aca="false">D8*Assumptions!$E$19</f>
        <v>200000</v>
      </c>
      <c r="E10" s="3" t="n">
        <f aca="false">E8*Assumptions!$E$19</f>
        <v>210000</v>
      </c>
      <c r="F10" s="3" t="n">
        <f aca="false">F8*Assumptions!$E$19</f>
        <v>220500</v>
      </c>
      <c r="G10" s="3" t="n">
        <f aca="false">G8*Assumptions!$E$19</f>
        <v>231525</v>
      </c>
      <c r="H10" s="3" t="n">
        <f aca="false">H8*Assumptions!$E$19</f>
        <v>243101.25</v>
      </c>
      <c r="I10" s="3"/>
      <c r="J10" s="3"/>
      <c r="K10" s="3"/>
    </row>
    <row r="11" customFormat="false" ht="25" hidden="false" customHeight="true" outlineLevel="0" collapsed="false">
      <c r="A11" s="1"/>
      <c r="B11" s="1" t="s">
        <v>36</v>
      </c>
      <c r="C11" s="3" t="n">
        <f aca="false">0</f>
        <v>0</v>
      </c>
      <c r="D11" s="3" t="n">
        <f aca="false">0</f>
        <v>0</v>
      </c>
      <c r="E11" s="3" t="n">
        <f aca="false">0</f>
        <v>0</v>
      </c>
      <c r="F11" s="3" t="n">
        <f aca="false">0</f>
        <v>0</v>
      </c>
      <c r="G11" s="3" t="n">
        <f aca="false">0</f>
        <v>0</v>
      </c>
      <c r="H11" s="3" t="n">
        <f aca="false">MIN(H8+H10,MAX(0,Assumptions!$E$21-Assumptions!$E$20))</f>
        <v>5105126.25</v>
      </c>
      <c r="I11" s="3"/>
      <c r="J11" s="3"/>
      <c r="K11" s="3"/>
    </row>
    <row r="12" customFormat="false" ht="25" hidden="false" customHeight="true" outlineLevel="0" collapsed="false">
      <c r="A12" s="1"/>
      <c r="B12" s="1" t="s">
        <v>37</v>
      </c>
      <c r="C12" s="3" t="n">
        <f aca="false">SUM(C8:C10)-C11</f>
        <v>4000000</v>
      </c>
      <c r="D12" s="3" t="n">
        <f aca="false">SUM(D8:D10)-D11</f>
        <v>4200000</v>
      </c>
      <c r="E12" s="3" t="n">
        <f aca="false">SUM(E8:E10)-E11</f>
        <v>4410000</v>
      </c>
      <c r="F12" s="3" t="n">
        <f aca="false">SUM(F8:F10)-F11</f>
        <v>4630500</v>
      </c>
      <c r="G12" s="3" t="n">
        <f aca="false">SUM(G8:G10)-G11</f>
        <v>4862025</v>
      </c>
      <c r="H12" s="3" t="n">
        <f aca="false">SUM(H8:H10)-H11</f>
        <v>0</v>
      </c>
      <c r="I12" s="3"/>
      <c r="J12" s="3"/>
      <c r="K12" s="3"/>
    </row>
    <row r="13" customFormat="false" ht="25" hidden="false" customHeight="true" outlineLevel="0" collapsed="false">
      <c r="A13" s="1"/>
      <c r="B13" s="1" t="s">
        <v>38</v>
      </c>
      <c r="C13" s="3" t="n">
        <f aca="false">0</f>
        <v>0</v>
      </c>
      <c r="D13" s="3" t="n">
        <f aca="false">D8*Assumptions!$E$18</f>
        <v>280000</v>
      </c>
      <c r="E13" s="3" t="n">
        <f aca="false">E8*Assumptions!$E$18</f>
        <v>294000</v>
      </c>
      <c r="F13" s="3" t="n">
        <f aca="false">F8*Assumptions!$E$18</f>
        <v>308700</v>
      </c>
      <c r="G13" s="3" t="n">
        <f aca="false">G8*Assumptions!$E$18</f>
        <v>324135</v>
      </c>
      <c r="H13" s="3" t="n">
        <f aca="false">MIN(H8*Assumptions!$E$18,MAX(0,Assumptions!$E$21-Assumptions!$E$20-H11))</f>
        <v>340341.75</v>
      </c>
      <c r="I13" s="3"/>
      <c r="J13" s="3"/>
      <c r="K13" s="3"/>
    </row>
    <row r="14" customFormat="false" ht="25" hidden="false" customHeight="true" outlineLevel="0" collapsed="false">
      <c r="A14" s="1"/>
      <c r="B14" s="1" t="s">
        <v>39</v>
      </c>
      <c r="C14" s="3" t="n">
        <f aca="false">SUM(C11,C13)-C9</f>
        <v>-4000000</v>
      </c>
      <c r="D14" s="3" t="n">
        <f aca="false">SUM(D11,D13)-D9</f>
        <v>280000</v>
      </c>
      <c r="E14" s="3" t="n">
        <f aca="false">SUM(E11,E13)-E9</f>
        <v>294000</v>
      </c>
      <c r="F14" s="3" t="n">
        <f aca="false">SUM(F11,F13)-F9</f>
        <v>308700</v>
      </c>
      <c r="G14" s="3" t="n">
        <f aca="false">SUM(G11,G13)-G9</f>
        <v>324135</v>
      </c>
      <c r="H14" s="3" t="n">
        <f aca="false">SUM(H11,H13)-H9</f>
        <v>5445468</v>
      </c>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41</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Assumptions!$E$22+-0.01</f>
        <v>0.05</v>
      </c>
      <c r="D9" s="16" t="n">
        <f aca="false">Assumptions!$E$22+-0.005</f>
        <v>0.055</v>
      </c>
      <c r="E9" s="16" t="n">
        <f aca="false">Assumptions!$E$22+0</f>
        <v>0.06</v>
      </c>
      <c r="F9" s="16" t="n">
        <f aca="false">Assumptions!$E$22+0.005</f>
        <v>0.065</v>
      </c>
      <c r="G9" s="16" t="n">
        <f aca="false">Assumptions!$E$22+0.01</f>
        <v>0.07</v>
      </c>
      <c r="H9" s="3"/>
      <c r="I9" s="3"/>
      <c r="J9" s="3"/>
      <c r="K9" s="3"/>
    </row>
    <row r="10" customFormat="false" ht="25" hidden="false" customHeight="true" outlineLevel="0" collapsed="false">
      <c r="A10" s="1"/>
      <c r="B10" s="16" t="n">
        <v>-0.1</v>
      </c>
      <c r="C10" s="3" t="n">
        <f aca="false">Assumptions!$E$21*Assumptions!$E$22*(1+$B10)/C$9</f>
        <v>19440000</v>
      </c>
      <c r="D10" s="3" t="n">
        <f aca="false">Assumptions!$E$21*Assumptions!$E$22*(1+$B10)/D$9</f>
        <v>17672727.2727273</v>
      </c>
      <c r="E10" s="3" t="n">
        <f aca="false">Assumptions!$E$21*Assumptions!$E$22*(1+$B10)/E$9</f>
        <v>16200000</v>
      </c>
      <c r="F10" s="3" t="n">
        <f aca="false">Assumptions!$E$21*Assumptions!$E$22*(1+$B10)/F$9</f>
        <v>14953846.1538462</v>
      </c>
      <c r="G10" s="3" t="n">
        <f aca="false">Assumptions!$E$21*Assumptions!$E$22*(1+$B10)/G$9</f>
        <v>13885714.2857143</v>
      </c>
      <c r="H10" s="3"/>
      <c r="I10" s="3"/>
      <c r="J10" s="3"/>
      <c r="K10" s="3"/>
    </row>
    <row r="11" customFormat="false" ht="25" hidden="false" customHeight="true" outlineLevel="0" collapsed="false">
      <c r="A11" s="1"/>
      <c r="B11" s="16" t="n">
        <v>-0.05</v>
      </c>
      <c r="C11" s="3" t="n">
        <f aca="false">Assumptions!$E$21*Assumptions!$E$22*(1+$B11)/C$9</f>
        <v>20520000</v>
      </c>
      <c r="D11" s="3" t="n">
        <f aca="false">Assumptions!$E$21*Assumptions!$E$22*(1+$B11)/D$9</f>
        <v>18654545.4545455</v>
      </c>
      <c r="E11" s="3" t="n">
        <f aca="false">Assumptions!$E$21*Assumptions!$E$22*(1+$B11)/E$9</f>
        <v>17100000</v>
      </c>
      <c r="F11" s="3" t="n">
        <f aca="false">Assumptions!$E$21*Assumptions!$E$22*(1+$B11)/F$9</f>
        <v>15784615.3846154</v>
      </c>
      <c r="G11" s="3" t="n">
        <f aca="false">Assumptions!$E$21*Assumptions!$E$22*(1+$B11)/G$9</f>
        <v>14657142.8571429</v>
      </c>
      <c r="H11" s="3"/>
      <c r="I11" s="3"/>
      <c r="J11" s="3"/>
      <c r="K11" s="3"/>
    </row>
    <row r="12" customFormat="false" ht="25" hidden="false" customHeight="true" outlineLevel="0" collapsed="false">
      <c r="A12" s="1"/>
      <c r="B12" s="16" t="n">
        <v>0</v>
      </c>
      <c r="C12" s="3" t="n">
        <f aca="false">Assumptions!$E$21*Assumptions!$E$22*(1+$B12)/C$9</f>
        <v>21600000</v>
      </c>
      <c r="D12" s="3" t="n">
        <f aca="false">Assumptions!$E$21*Assumptions!$E$22*(1+$B12)/D$9</f>
        <v>19636363.6363636</v>
      </c>
      <c r="E12" s="3" t="n">
        <f aca="false">Assumptions!$E$21*Assumptions!$E$22*(1+$B12)/E$9</f>
        <v>18000000</v>
      </c>
      <c r="F12" s="3" t="n">
        <f aca="false">Assumptions!$E$21*Assumptions!$E$22*(1+$B12)/F$9</f>
        <v>16615384.6153846</v>
      </c>
      <c r="G12" s="3" t="n">
        <f aca="false">Assumptions!$E$21*Assumptions!$E$22*(1+$B12)/G$9</f>
        <v>15428571.4285714</v>
      </c>
      <c r="H12" s="3"/>
      <c r="I12" s="3"/>
      <c r="J12" s="3"/>
      <c r="K12" s="3"/>
    </row>
    <row r="13" customFormat="false" ht="25" hidden="false" customHeight="true" outlineLevel="0" collapsed="false">
      <c r="A13" s="1"/>
      <c r="B13" s="16" t="n">
        <v>0.05</v>
      </c>
      <c r="C13" s="3" t="n">
        <f aca="false">Assumptions!$E$21*Assumptions!$E$22*(1+$B13)/C$9</f>
        <v>22680000</v>
      </c>
      <c r="D13" s="3" t="n">
        <f aca="false">Assumptions!$E$21*Assumptions!$E$22*(1+$B13)/D$9</f>
        <v>20618181.8181818</v>
      </c>
      <c r="E13" s="3" t="n">
        <f aca="false">Assumptions!$E$21*Assumptions!$E$22*(1+$B13)/E$9</f>
        <v>18900000</v>
      </c>
      <c r="F13" s="3" t="n">
        <f aca="false">Assumptions!$E$21*Assumptions!$E$22*(1+$B13)/F$9</f>
        <v>17446153.8461538</v>
      </c>
      <c r="G13" s="3" t="n">
        <f aca="false">Assumptions!$E$21*Assumptions!$E$22*(1+$B13)/G$9</f>
        <v>16200000</v>
      </c>
      <c r="H13" s="3"/>
      <c r="I13" s="3"/>
      <c r="J13" s="3"/>
      <c r="K13" s="3"/>
    </row>
    <row r="14" customFormat="false" ht="25" hidden="false" customHeight="true" outlineLevel="0" collapsed="false">
      <c r="A14" s="1"/>
      <c r="B14" s="16" t="n">
        <v>0.1</v>
      </c>
      <c r="C14" s="3" t="n">
        <f aca="false">Assumptions!$E$21*Assumptions!$E$22*(1+$B14)/C$9</f>
        <v>23760000</v>
      </c>
      <c r="D14" s="3" t="n">
        <f aca="false">Assumptions!$E$21*Assumptions!$E$22*(1+$B14)/D$9</f>
        <v>21600000</v>
      </c>
      <c r="E14" s="3" t="n">
        <f aca="false">Assumptions!$E$21*Assumptions!$E$22*(1+$B14)/E$9</f>
        <v>19800000</v>
      </c>
      <c r="F14" s="3" t="n">
        <f aca="false">Assumptions!$E$21*Assumptions!$E$22*(1+$B14)/F$9</f>
        <v>18276923.0769231</v>
      </c>
      <c r="G14" s="3" t="n">
        <f aca="false">Assumptions!$E$21*Assumptions!$E$22*(1+$B14)/G$9</f>
        <v>16971428.5714286</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42</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43</v>
      </c>
      <c r="C8" s="3" t="n">
        <f aca="false">SUM(Waterfall!C9:H10)-SUM(Waterfall!C11:H11)-Waterfall!H12</f>
        <v>0</v>
      </c>
      <c r="D8" s="3"/>
      <c r="E8" s="3"/>
      <c r="F8" s="3"/>
      <c r="G8" s="3"/>
      <c r="H8" s="3"/>
      <c r="I8" s="3"/>
      <c r="J8" s="3"/>
      <c r="K8" s="3"/>
    </row>
    <row r="9" customFormat="false" ht="25" hidden="false" customHeight="true" outlineLevel="0" collapsed="false">
      <c r="A9" s="1"/>
      <c r="B9" s="1"/>
      <c r="C9" s="3"/>
      <c r="D9" s="3"/>
      <c r="E9" s="3"/>
      <c r="F9" s="3"/>
      <c r="G9" s="3"/>
      <c r="H9" s="3"/>
      <c r="I9" s="3"/>
      <c r="J9" s="3"/>
      <c r="K9" s="3"/>
    </row>
    <row r="10" customFormat="false" ht="25" hidden="false" customHeight="true" outlineLevel="0" collapsed="false">
      <c r="A10" s="1"/>
      <c r="B10" s="1"/>
      <c r="C10" s="3"/>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44</v>
      </c>
      <c r="C12" s="17" t="str">
        <f aca="false">IF(OR(ISERROR(Dashboard!C10)),"IRR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46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47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48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49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50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