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Assumptions" sheetId="2" state="visible" r:id="rId4"/>
    <sheet name="Monthly" sheetId="3" state="visible" r:id="rId5"/>
    <sheet name="Annual" sheetId="4" state="visible" r:id="rId6"/>
    <sheet name="Lender" sheetId="5" state="visible" r:id="rId7"/>
    <sheet name="Sensitivity" sheetId="6" state="visible" r:id="rId8"/>
    <sheet name="Checks" sheetId="7" state="visible" r:id="rId9"/>
    <sheet name="ReadMe" sheetId="8" state="visible" r:id="rId10"/>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<sst xmlns="http://schemas.openxmlformats.org/spreadsheetml/2006/main" count="118" uniqueCount="101">
  <si>
    <t xml:space="preserve">Multifamily Development</t>
  </si>
  <si>
    <t xml:space="preserve">FORMULAPLANET  •  EUR  •  v1.2  •  Illustrative inputs  •  Pre-tax</t>
  </si>
  <si>
    <t xml:space="preserve">Active case (1 base / 2 downside)</t>
  </si>
  <si>
    <t xml:space="preserve">Equity invested</t>
  </si>
  <si>
    <t xml:space="preserve">Equity distributed</t>
  </si>
  <si>
    <t xml:space="preserve">Annualized equity IRR</t>
  </si>
  <si>
    <t xml:space="preserve">Equity multiple / MOIC</t>
  </si>
  <si>
    <t xml:space="preserve">Net equity profit</t>
  </si>
  <si>
    <t xml:space="preserve">Total capital costs</t>
  </si>
  <si>
    <t xml:space="preserve">Construction / operating interest</t>
  </si>
  <si>
    <t xml:space="preserve">Peak cash deficit</t>
  </si>
  <si>
    <t xml:space="preserve">Equity NPV</t>
  </si>
  <si>
    <t xml:space="preserve">Annualized unlevered IRR</t>
  </si>
  <si>
    <t xml:space="preserve">Exit value</t>
  </si>
  <si>
    <t xml:space="preserve">Gross debt draws</t>
  </si>
  <si>
    <t xml:space="preserve">Select base / downside in Assumptions. Review Checks before relying on returns. The workbook is a planning tool; figures do not verify market data.</t>
  </si>
  <si>
    <t xml:space="preserve">Assumptions</t>
  </si>
  <si>
    <t xml:space="preserve">Case: 1 base / 2 downside</t>
  </si>
  <si>
    <t xml:space="preserve">Base</t>
  </si>
  <si>
    <t xml:space="preserve">Downside</t>
  </si>
  <si>
    <t xml:space="preserve">Active</t>
  </si>
  <si>
    <t xml:space="preserve">Land / existing building cost</t>
  </si>
  <si>
    <t xml:space="preserve">Acquisition costs</t>
  </si>
  <si>
    <t xml:space="preserve">Residential units</t>
  </si>
  <si>
    <t xml:space="preserve">Construction / renovation cost</t>
  </si>
  <si>
    <t xml:space="preserve">Professional fees (% hard costs)</t>
  </si>
  <si>
    <t xml:space="preserve">Construction contingency</t>
  </si>
  <si>
    <t xml:space="preserve">Construction duration (months)</t>
  </si>
  <si>
    <t xml:space="preserve">Lease-up / sellout months</t>
  </si>
  <si>
    <t xml:space="preserve">Monthly rent per unit</t>
  </si>
  <si>
    <t xml:space="preserve">Stabilized occupancy</t>
  </si>
  <si>
    <t xml:space="preserve">Annual income growth</t>
  </si>
  <si>
    <t xml:space="preserve">Operating costs (% total revenue)</t>
  </si>
  <si>
    <t xml:space="preserve">Other income (% main revenue)</t>
  </si>
  <si>
    <t xml:space="preserve">Annual capex reserve (% revenue)</t>
  </si>
  <si>
    <t xml:space="preserve">Senior LTC limit</t>
  </si>
  <si>
    <t xml:space="preserve">Construction interest rate</t>
  </si>
  <si>
    <t xml:space="preserve">Refinance month (0 disables)</t>
  </si>
  <si>
    <t xml:space="preserve">Refinance LTV limit</t>
  </si>
  <si>
    <t xml:space="preserve">Minimum refinance DSCR</t>
  </si>
  <si>
    <t xml:space="preserve">Permanent interest rate</t>
  </si>
  <si>
    <t xml:space="preserve">Exit / refinance cap rate</t>
  </si>
  <si>
    <t xml:space="preserve">Selling costs (% proceeds)</t>
  </si>
  <si>
    <t xml:space="preserve">Annual equity discount rate</t>
  </si>
  <si>
    <t xml:space="preserve">Rent-paying months / year</t>
  </si>
  <si>
    <t xml:space="preserve">Pre-completion income factor</t>
  </si>
  <si>
    <t xml:space="preserve">Conversion / enabling cost</t>
  </si>
  <si>
    <t xml:space="preserve">Monthly</t>
  </si>
  <si>
    <t xml:space="preserve">Month</t>
  </si>
  <si>
    <t xml:space="preserve">Construction / conversion cost</t>
  </si>
  <si>
    <t xml:space="preserve">Acquisition incl. transaction costs</t>
  </si>
  <si>
    <t xml:space="preserve">Capital expenditure</t>
  </si>
  <si>
    <t xml:space="preserve">Senior loan draw</t>
  </si>
  <si>
    <t xml:space="preserve">Occupancy / sales ramp</t>
  </si>
  <si>
    <t xml:space="preserve">Units sold</t>
  </si>
  <si>
    <t xml:space="preserve">Main revenue</t>
  </si>
  <si>
    <t xml:space="preserve">Ancillary income</t>
  </si>
  <si>
    <t xml:space="preserve">Operating expenses</t>
  </si>
  <si>
    <t xml:space="preserve">Net operating income</t>
  </si>
  <si>
    <t xml:space="preserve">Recurring capex / FF&amp;E</t>
  </si>
  <si>
    <t xml:space="preserve">Forward annual stabilized NOI</t>
  </si>
  <si>
    <t xml:space="preserve">Opening debt balance</t>
  </si>
  <si>
    <t xml:space="preserve">Interest expense</t>
  </si>
  <si>
    <t xml:space="preserve">Refinance proceeds</t>
  </si>
  <si>
    <t xml:space="preserve">Gross exit / inventory sale</t>
  </si>
  <si>
    <t xml:space="preserve">Selling costs</t>
  </si>
  <si>
    <t xml:space="preserve">Refinance repayment</t>
  </si>
  <si>
    <t xml:space="preserve">Sales / exit debt repayment</t>
  </si>
  <si>
    <t xml:space="preserve">Additional repayment at month 60</t>
  </si>
  <si>
    <t xml:space="preserve">Closing debt</t>
  </si>
  <si>
    <t xml:space="preserve">Equity cash flow</t>
  </si>
  <si>
    <t xml:space="preserve">Unlevered cash flow</t>
  </si>
  <si>
    <t xml:space="preserve">Discounted equity cash flow</t>
  </si>
  <si>
    <t xml:space="preserve">Cumulative equity cash flow</t>
  </si>
  <si>
    <t xml:space="preserve">Monthly end-of-period cash flows, 60-month hold. Senior debt funds 65% of eligible capital costs; interest is funded by equity. Refinance uses forward stabilized NOI, LTV and interest-only DSCR. Residual debt is repaid at sale.</t>
  </si>
  <si>
    <t xml:space="preserve">Annual</t>
  </si>
  <si>
    <t xml:space="preserve">NOI</t>
  </si>
  <si>
    <t xml:space="preserve">Capex reserve</t>
  </si>
  <si>
    <t xml:space="preserve">Interest</t>
  </si>
  <si>
    <t xml:space="preserve">Gross sale</t>
  </si>
  <si>
    <t xml:space="preserve">Lender</t>
  </si>
  <si>
    <t xml:space="preserve">Peak debt</t>
  </si>
  <si>
    <t xml:space="preserve">LTC</t>
  </si>
  <si>
    <t xml:space="preserve">Year 5 NOI</t>
  </si>
  <si>
    <t xml:space="preserve">Debt yield</t>
  </si>
  <si>
    <t xml:space="preserve">Exit LTV</t>
  </si>
  <si>
    <t xml:space="preserve">Year 5 DSCR</t>
  </si>
  <si>
    <t xml:space="preserve">Interest-only financing. Construction interest is paid from equity, not capitalized. Closing debt at the final exit must be zero. Sales models have no recurring NOI, so debt yield and DSCR are zero / not applicable.</t>
  </si>
  <si>
    <t xml:space="preserve">Sensitivity</t>
  </si>
  <si>
    <t xml:space="preserve">Gross value sensitivity: forward annual income vs capitalization / yield. This isolates valuation; it is not a full-model IRR sensitivity.</t>
  </si>
  <si>
    <t xml:space="preserve">Checks</t>
  </si>
  <si>
    <t xml:space="preserve">Debt roll-forward (zero)</t>
  </si>
  <si>
    <t xml:space="preserve">Final debt balance (zero)</t>
  </si>
  <si>
    <t xml:space="preserve">Capital cost reconciliation (zero)</t>
  </si>
  <si>
    <t xml:space="preserve">Dashboard IRR calculation</t>
  </si>
  <si>
    <t xml:space="preserve">ReadMe</t>
  </si>
  <si>
    <t xml:space="preserve">Multifamily Development — editable, formula-driven underwriting workbook. Change the yellow / blue cells in Assumptions. Select case 2 for a downside through the same schedules.</t>
  </si>
  <si>
    <t xml:space="preserve">Inputs are illustrative, not researched market evidence. All values are EUR, nominal and before income tax / VAT. Acquisition costs are an explicit assumption. No macros, external links or hidden worksheets.</t>
  </si>
  <si>
    <t xml:space="preserve">Cash flow timing is stated on the forecast. Review financing covenants, operating assumptions and local taxes for your project. IRR may be undefined or non-unique for cash flows with multiple sign changes.</t>
  </si>
  <si>
    <t xml:space="preserve">Blue = editable input; green = linked assumption; dark = calculated output. Negative values are parenthesized. Checks are diagnostic only and do not drive the model. FormulaPlanet free-use licence: use and edit for your own organisation, studies and client analysis; do not sell or redistribute the original files.</t>
  </si>
  <si>
    <t xml:space="preserve">Residential income uses units / beds × monthly rent × paid months. Student housing defaults to 10 paid months. Occupancy ramps after construction; coliving uses a higher operating expense ratio.</t>
  </si>
</sst>
</file>

<file path=xl/styles.xml><?xml version="1.0" encoding="utf-8"?>
<styleSheet xmlns="http://schemas.openxmlformats.org/spreadsheetml/2006/main">
  <numFmts count="6">
    <numFmt numFmtId="164" formatCode="General"/>
    <numFmt numFmtId="165" formatCode="#,##0;\(#,##0\);\–"/>
    <numFmt numFmtId="166" formatCode="0.0%;\(0.0%\);\–"/>
    <numFmt numFmtId="167" formatCode="0.00\x"/>
    <numFmt numFmtId="168" formatCode="0"/>
    <numFmt numFmtId="169" formatCode="@"/>
  </numFmts>
  <fonts count="9">
    <font>
      <sz val="10"/>
      <name val="Arial"/>
      <family val="2"/>
    </font>
    <font>
      <sz val="10"/>
      <name val="Arial"/>
      <family val="0"/>
    </font>
    <font>
      <sz val="10"/>
      <name val="Arial"/>
      <family val="0"/>
    </font>
    <font>
      <sz val="10"/>
      <name val="Arial"/>
      <family val="0"/>
    </font>
    <font>
      <sz val="11"/>
      <name val="Calibri"/>
      <family val="0"/>
      <charset val="1"/>
    </font>
    <font>
      <sz val="11"/>
      <color rgb="FF193D30"/>
      <name val="Arial"/>
      <family val="0"/>
      <charset val="1"/>
    </font>
    <font>
      <b val="true"/>
      <sz val="19"/>
      <color rgb="FFFFFFFF"/>
      <name val="Arial"/>
      <family val="0"/>
      <charset val="1"/>
    </font>
    <font>
      <b val="true"/>
      <sz val="11"/>
      <color rgb="FF193D30"/>
      <name val="Arial"/>
      <family val="0"/>
      <charset val="1"/>
    </font>
    <font>
      <sz val="11"/>
      <color rgb="FF0000FF"/>
      <name val="Arial"/>
      <family val="0"/>
      <charset val="1"/>
    </font>
  </fonts>
  <fills count="6">
    <fill>
      <patternFill patternType="none"/>
    </fill>
    <fill>
      <patternFill patternType="gray125"/>
    </fill>
    <fill>
      <patternFill patternType="solid">
        <fgColor rgb="FF193D30"/>
        <bgColor rgb="FF003300"/>
      </patternFill>
    </fill>
    <fill>
      <patternFill patternType="solid">
        <fgColor rgb="FFE7EFDF"/>
        <bgColor rgb="FFF2F5ED"/>
      </patternFill>
    </fill>
    <fill>
      <patternFill patternType="solid">
        <fgColor rgb="FFF2F5ED"/>
        <bgColor rgb="FFE7EFDF"/>
      </patternFill>
    </fill>
    <fill>
      <patternFill patternType="solid">
        <fgColor rgb="FFFFF6D6"/>
        <bgColor rgb="FFF2F5ED"/>
      </patternFill>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true" applyAlignment="false" applyProtection="false">
      <alignment horizontal="general" vertical="bottom" textRotation="0" wrapText="false" indent="0" shrinkToFit="false"/>
      <protection locked="true" hidden="false"/>
    </xf>
    <xf numFmtId="164" fontId="6" fillId="2" borderId="0" xfId="20" applyFont="true" applyBorder="true" applyAlignment="false" applyProtection="false">
      <alignment horizontal="general" vertical="bottom" textRotation="0" wrapText="false" indent="0" shrinkToFit="false"/>
      <protection locked="true" hidden="false"/>
    </xf>
    <xf numFmtId="165" fontId="5" fillId="0" borderId="0" xfId="20" applyFont="true" applyBorder="true" applyAlignment="false" applyProtection="false">
      <alignment horizontal="general" vertical="bottom" textRotation="0" wrapText="false" indent="0" shrinkToFit="false"/>
      <protection locked="true" hidden="false"/>
    </xf>
    <xf numFmtId="164" fontId="5" fillId="3" borderId="0" xfId="20" applyFont="true" applyBorder="true" applyAlignment="false" applyProtection="false">
      <alignment horizontal="general" vertical="bottom" textRotation="0" wrapText="false" indent="0" shrinkToFit="false"/>
      <protection locked="true" hidden="false"/>
    </xf>
    <xf numFmtId="165" fontId="7" fillId="3" borderId="0" xfId="20" applyFont="true" applyBorder="true" applyAlignment="false" applyProtection="false">
      <alignment horizontal="general" vertical="bottom" textRotation="0" wrapText="false" indent="0" shrinkToFit="false"/>
      <protection locked="true" hidden="false"/>
    </xf>
    <xf numFmtId="165" fontId="5" fillId="3" borderId="0" xfId="20" applyFont="true" applyBorder="true" applyAlignment="false" applyProtection="false">
      <alignment horizontal="general" vertical="bottom" textRotation="0" wrapText="false" indent="0" shrinkToFit="false"/>
      <protection locked="true" hidden="false"/>
    </xf>
    <xf numFmtId="164" fontId="5" fillId="4" borderId="0" xfId="20" applyFont="true" applyBorder="true" applyAlignment="false" applyProtection="false">
      <alignment horizontal="general" vertical="bottom" textRotation="0" wrapText="false" indent="0" shrinkToFit="false"/>
      <protection locked="true" hidden="false"/>
    </xf>
    <xf numFmtId="165" fontId="7" fillId="4" borderId="0" xfId="20" applyFont="true" applyBorder="true" applyAlignment="false" applyProtection="false">
      <alignment horizontal="general" vertical="bottom" textRotation="0" wrapText="false" indent="0" shrinkToFit="false"/>
      <protection locked="true" hidden="false"/>
    </xf>
    <xf numFmtId="165" fontId="5" fillId="4" borderId="0" xfId="20" applyFont="true" applyBorder="true" applyAlignment="false" applyProtection="false">
      <alignment horizontal="general" vertical="bottom" textRotation="0" wrapText="false" indent="0" shrinkToFit="false"/>
      <protection locked="true" hidden="false"/>
    </xf>
    <xf numFmtId="166" fontId="7" fillId="3" borderId="0" xfId="20" applyFont="true" applyBorder="true" applyAlignment="false" applyProtection="false">
      <alignment horizontal="general" vertical="bottom" textRotation="0" wrapText="false" indent="0" shrinkToFit="false"/>
      <protection locked="true" hidden="false"/>
    </xf>
    <xf numFmtId="167" fontId="7" fillId="4" borderId="0" xfId="20" applyFont="true" applyBorder="true" applyAlignment="false" applyProtection="false">
      <alignment horizontal="general" vertical="bottom" textRotation="0" wrapText="false" indent="0" shrinkToFit="false"/>
      <protection locked="true" hidden="false"/>
    </xf>
    <xf numFmtId="164" fontId="5" fillId="0" borderId="0" xfId="20" applyFont="true" applyBorder="true" applyAlignment="true" applyProtection="false">
      <alignment horizontal="general" vertical="bottom" textRotation="0" wrapText="true" indent="0" shrinkToFit="false"/>
      <protection locked="true" hidden="false"/>
    </xf>
    <xf numFmtId="165" fontId="8" fillId="0" borderId="0" xfId="20" applyFont="true" applyBorder="true" applyAlignment="false" applyProtection="false">
      <alignment horizontal="general" vertical="bottom" textRotation="0" wrapText="false" indent="0" shrinkToFit="false"/>
      <protection locked="true" hidden="false"/>
    </xf>
    <xf numFmtId="165" fontId="8" fillId="5" borderId="0" xfId="20" applyFont="true" applyBorder="true" applyAlignment="false" applyProtection="false">
      <alignment horizontal="general" vertical="bottom" textRotation="0" wrapText="false" indent="0" shrinkToFit="false"/>
      <protection locked="true" hidden="false"/>
    </xf>
    <xf numFmtId="166" fontId="8" fillId="5" borderId="0" xfId="20" applyFont="true" applyBorder="true" applyAlignment="false" applyProtection="false">
      <alignment horizontal="general" vertical="bottom" textRotation="0" wrapText="false" indent="0" shrinkToFit="false"/>
      <protection locked="true" hidden="false"/>
    </xf>
    <xf numFmtId="166" fontId="5" fillId="0" borderId="0" xfId="20" applyFont="true" applyBorder="true" applyAlignment="false" applyProtection="false">
      <alignment horizontal="general" vertical="bottom" textRotation="0" wrapText="false" indent="0" shrinkToFit="false"/>
      <protection locked="true" hidden="false"/>
    </xf>
    <xf numFmtId="167" fontId="8" fillId="5" borderId="0" xfId="20" applyFont="true" applyBorder="true" applyAlignment="false" applyProtection="false">
      <alignment horizontal="general" vertical="bottom" textRotation="0" wrapText="false" indent="0" shrinkToFit="false"/>
      <protection locked="true" hidden="false"/>
    </xf>
    <xf numFmtId="167" fontId="5" fillId="0" borderId="0" xfId="20" applyFont="true" applyBorder="true" applyAlignment="false" applyProtection="false">
      <alignment horizontal="general" vertical="bottom" textRotation="0" wrapText="false" indent="0" shrinkToFit="false"/>
      <protection locked="true" hidden="false"/>
    </xf>
    <xf numFmtId="168" fontId="5" fillId="0" borderId="0" xfId="20" applyFont="true" applyBorder="true" applyAlignment="false" applyProtection="false">
      <alignment horizontal="general" vertical="bottom" textRotation="0" wrapText="false" indent="0" shrinkToFit="false"/>
      <protection locked="true" hidden="false"/>
    </xf>
    <xf numFmtId="168" fontId="4" fillId="0" borderId="0" xfId="20" applyFont="true" applyBorder="true" applyAlignment="false" applyProtection="false">
      <alignment horizontal="general" vertical="bottom" textRotation="0" wrapText="false" indent="0" shrinkToFit="false"/>
      <protection locked="true" hidden="false"/>
    </xf>
    <xf numFmtId="166" fontId="4" fillId="0" borderId="0" xfId="20" applyFont="true" applyBorder="true" applyAlignment="false" applyProtection="false">
      <alignment horizontal="general" vertical="bottom" textRotation="0" wrapText="false" indent="0" shrinkToFit="false"/>
      <protection locked="true" hidden="false"/>
    </xf>
    <xf numFmtId="169" fontId="7" fillId="0" borderId="0" xfId="20" applyFont="true" applyBorder="tru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dxfs count="1">
    <dxf>
      <font>
        <name val="Arial"/>
        <charset val="1"/>
        <family val="0"/>
        <b val="1"/>
        <color rgb="FFB42318"/>
        <sz val="11"/>
      </font>
      <fill>
        <patternFill>
          <bgColor rgb="FFFCE8E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D6"/>
      <rgbColor rgb="FFF2F5E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7EFDF"/>
      <rgbColor rgb="FFFCE8E6"/>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B42318"/>
      <rgbColor rgb="FF993366"/>
      <rgbColor rgb="FF333399"/>
      <rgbColor rgb="FF193D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4" t="s">
        <v>3</v>
      </c>
      <c r="C8" s="5" t="n">
        <f aca="false">-SUMIF(Monthly!C28:BK28,"&lt;0",Monthly!C28:BK28)</f>
        <v>7616804.580055</v>
      </c>
      <c r="D8" s="6"/>
      <c r="E8" s="3"/>
      <c r="F8" s="3"/>
      <c r="G8" s="3"/>
      <c r="H8" s="3"/>
      <c r="I8" s="3"/>
      <c r="J8" s="3"/>
      <c r="K8" s="3"/>
    </row>
    <row r="9" customFormat="false" ht="25" hidden="false" customHeight="true" outlineLevel="0" collapsed="false">
      <c r="A9" s="1"/>
      <c r="B9" s="7" t="s">
        <v>4</v>
      </c>
      <c r="C9" s="8" t="n">
        <f aca="false">SUMIF(Monthly!C28:BK28,"&gt;0",Monthly!C28:BK28)</f>
        <v>9409589.92539782</v>
      </c>
      <c r="D9" s="9"/>
      <c r="E9" s="3"/>
      <c r="F9" s="3"/>
      <c r="G9" s="3"/>
      <c r="H9" s="3"/>
      <c r="I9" s="3"/>
      <c r="J9" s="3"/>
      <c r="K9" s="3"/>
    </row>
    <row r="10" customFormat="false" ht="25" hidden="false" customHeight="true" outlineLevel="0" collapsed="false">
      <c r="A10" s="1"/>
      <c r="B10" s="4" t="s">
        <v>5</v>
      </c>
      <c r="C10" s="10" t="n">
        <f aca="false">IF(AND(C8&gt;0,C9&gt;0),(1+IFERROR(IRR(Monthly!C28:BK28),IRR(Monthly!C28:BK28,0)))^12-1,"n.a.")</f>
        <v>0.054388077645168</v>
      </c>
      <c r="D10" s="6"/>
      <c r="E10" s="3"/>
      <c r="F10" s="3"/>
      <c r="G10" s="3"/>
      <c r="H10" s="3"/>
      <c r="I10" s="3"/>
      <c r="J10" s="3"/>
      <c r="K10" s="3"/>
    </row>
    <row r="11" customFormat="false" ht="25" hidden="false" customHeight="true" outlineLevel="0" collapsed="false">
      <c r="A11" s="1"/>
      <c r="B11" s="7" t="s">
        <v>6</v>
      </c>
      <c r="C11" s="11" t="n">
        <f aca="false">IF(C8&gt;0,C9/C8,0)</f>
        <v>1.23537236993546</v>
      </c>
      <c r="D11" s="9"/>
      <c r="E11" s="3"/>
      <c r="F11" s="3"/>
      <c r="G11" s="3"/>
      <c r="H11" s="3"/>
      <c r="I11" s="3"/>
      <c r="J11" s="3"/>
      <c r="K11" s="3"/>
    </row>
    <row r="12" customFormat="false" ht="25" hidden="false" customHeight="true" outlineLevel="0" collapsed="false">
      <c r="A12" s="1"/>
      <c r="B12" s="4" t="s">
        <v>7</v>
      </c>
      <c r="C12" s="5" t="n">
        <f aca="false">C9-C8</f>
        <v>1792785.34534283</v>
      </c>
      <c r="D12" s="6"/>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4" t="s">
        <v>8</v>
      </c>
      <c r="C14" s="5" t="n">
        <f aca="false">SUM(Monthly!C9:BK9)</f>
        <v>18340000</v>
      </c>
      <c r="D14" s="6"/>
      <c r="E14" s="3"/>
      <c r="F14" s="3"/>
      <c r="G14" s="3"/>
      <c r="H14" s="3"/>
      <c r="I14" s="3"/>
      <c r="J14" s="3"/>
      <c r="K14" s="3"/>
    </row>
    <row r="15" customFormat="false" ht="25" hidden="false" customHeight="true" outlineLevel="0" collapsed="false">
      <c r="A15" s="1"/>
      <c r="B15" s="7" t="s">
        <v>9</v>
      </c>
      <c r="C15" s="8" t="n">
        <f aca="false">SUM(Monthly!C20:BK20)</f>
        <v>3108174.1301394</v>
      </c>
      <c r="D15" s="9"/>
      <c r="E15" s="3"/>
      <c r="F15" s="3"/>
      <c r="G15" s="3"/>
      <c r="H15" s="3"/>
      <c r="I15" s="3"/>
      <c r="J15" s="3"/>
      <c r="K15" s="3"/>
    </row>
    <row r="16" customFormat="false" ht="25" hidden="false" customHeight="true" outlineLevel="0" collapsed="false">
      <c r="A16" s="1"/>
      <c r="B16" s="4" t="s">
        <v>10</v>
      </c>
      <c r="C16" s="5" t="n">
        <f aca="false">-MIN(Monthly!C31:BK31)</f>
        <v>7616804.580055</v>
      </c>
      <c r="D16" s="6"/>
      <c r="E16" s="3"/>
      <c r="F16" s="3"/>
      <c r="G16" s="3"/>
      <c r="H16" s="3"/>
      <c r="I16" s="3"/>
      <c r="J16" s="3"/>
      <c r="K16" s="3"/>
    </row>
    <row r="17" customFormat="false" ht="25" hidden="false" customHeight="true" outlineLevel="0" collapsed="false">
      <c r="A17" s="1"/>
      <c r="B17" s="7" t="s">
        <v>11</v>
      </c>
      <c r="C17" s="8" t="n">
        <f aca="false">SUM(Monthly!C30:BK30)</f>
        <v>-1483003.62596032</v>
      </c>
      <c r="D17" s="9"/>
      <c r="E17" s="3"/>
      <c r="F17" s="3"/>
      <c r="G17" s="3"/>
      <c r="H17" s="3"/>
      <c r="I17" s="3"/>
      <c r="J17" s="3"/>
      <c r="K17" s="3"/>
    </row>
    <row r="18" customFormat="false" ht="25" hidden="false" customHeight="true" outlineLevel="0" collapsed="false">
      <c r="A18" s="1"/>
      <c r="B18" s="4" t="s">
        <v>12</v>
      </c>
      <c r="C18" s="10" t="n">
        <f aca="false">(1+IFERROR(IRR(Monthly!C29:BK29),IRR(Monthly!C29:BK29,0)))^12-1</f>
        <v>0.0601675393785777</v>
      </c>
      <c r="D18" s="6"/>
      <c r="E18" s="3"/>
      <c r="F18" s="3"/>
      <c r="G18" s="3"/>
      <c r="H18" s="3"/>
      <c r="I18" s="3"/>
      <c r="J18" s="3"/>
      <c r="K18" s="3"/>
    </row>
    <row r="19" customFormat="false" ht="25" hidden="false" customHeight="true" outlineLevel="0" collapsed="false">
      <c r="A19" s="1"/>
      <c r="B19" s="7" t="s">
        <v>13</v>
      </c>
      <c r="C19" s="8" t="n">
        <f aca="false">Monthly!BK22</f>
        <v>20793905.5864096</v>
      </c>
      <c r="D19" s="9"/>
      <c r="E19" s="3"/>
      <c r="F19" s="3"/>
      <c r="G19" s="3"/>
      <c r="H19" s="3"/>
      <c r="I19" s="3"/>
      <c r="J19" s="3"/>
      <c r="K19" s="3"/>
    </row>
    <row r="20" customFormat="false" ht="25" hidden="false" customHeight="true" outlineLevel="0" collapsed="false">
      <c r="A20" s="1"/>
      <c r="B20" s="4" t="s">
        <v>14</v>
      </c>
      <c r="C20" s="5" t="n">
        <f aca="false">SUM(Monthly!C10:BK10)</f>
        <v>11921000</v>
      </c>
      <c r="D20" s="6"/>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2" t="s">
        <v>15</v>
      </c>
      <c r="C26" s="12"/>
      <c r="D26" s="12"/>
      <c r="E26" s="12"/>
      <c r="F26" s="12"/>
      <c r="G26" s="12"/>
      <c r="H26" s="12"/>
      <c r="I26" s="12"/>
      <c r="J26" s="12"/>
      <c r="K26" s="12"/>
    </row>
    <row r="27" customFormat="false" ht="25" hidden="false" customHeight="true" outlineLevel="0" collapsed="false">
      <c r="A27" s="1"/>
      <c r="B27" s="12"/>
      <c r="C27" s="12"/>
      <c r="D27" s="12"/>
      <c r="E27" s="12"/>
      <c r="F27" s="12"/>
      <c r="G27" s="12"/>
      <c r="H27" s="12"/>
      <c r="I27" s="12"/>
      <c r="J27" s="12"/>
      <c r="K27" s="12"/>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26:K2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16</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c r="C5" s="3"/>
      <c r="D5" s="3"/>
      <c r="E5" s="3"/>
      <c r="F5" s="3"/>
      <c r="G5" s="3"/>
      <c r="H5" s="3"/>
      <c r="I5" s="3"/>
      <c r="J5" s="3"/>
      <c r="K5" s="3"/>
    </row>
    <row r="6" customFormat="false" ht="25" hidden="false" customHeight="true" outlineLevel="0" collapsed="false">
      <c r="A6" s="1"/>
      <c r="B6" s="1" t="s">
        <v>17</v>
      </c>
      <c r="C6" s="13" t="n">
        <v>1</v>
      </c>
      <c r="D6" s="3"/>
      <c r="E6" s="3"/>
      <c r="F6" s="3"/>
      <c r="G6" s="3"/>
      <c r="H6" s="3"/>
      <c r="I6" s="3"/>
      <c r="J6" s="3"/>
      <c r="K6" s="3"/>
    </row>
    <row r="7" customFormat="false" ht="25" hidden="false" customHeight="true" outlineLevel="0" collapsed="false">
      <c r="A7" s="1"/>
      <c r="B7" s="1"/>
      <c r="C7" s="3" t="s">
        <v>18</v>
      </c>
      <c r="D7" s="3" t="s">
        <v>19</v>
      </c>
      <c r="E7" s="3" t="s">
        <v>20</v>
      </c>
      <c r="F7" s="3"/>
      <c r="G7" s="3"/>
      <c r="H7" s="3"/>
      <c r="I7" s="3"/>
      <c r="J7" s="3"/>
      <c r="K7" s="3"/>
    </row>
    <row r="8" customFormat="false" ht="25" hidden="false" customHeight="true" outlineLevel="0" collapsed="false">
      <c r="A8" s="1"/>
      <c r="B8" s="1" t="s">
        <v>21</v>
      </c>
      <c r="C8" s="14" t="n">
        <v>4000000</v>
      </c>
      <c r="D8" s="14" t="n">
        <v>4000000</v>
      </c>
      <c r="E8" s="3" t="n">
        <f aca="false">IF($C$6=2,D8,C8)</f>
        <v>4000000</v>
      </c>
      <c r="F8" s="3"/>
      <c r="G8" s="3"/>
      <c r="H8" s="3"/>
      <c r="I8" s="3"/>
      <c r="J8" s="3"/>
      <c r="K8" s="3"/>
    </row>
    <row r="9" customFormat="false" ht="25" hidden="false" customHeight="true" outlineLevel="0" collapsed="false">
      <c r="A9" s="1"/>
      <c r="B9" s="1" t="s">
        <v>22</v>
      </c>
      <c r="C9" s="15" t="n">
        <v>0.06</v>
      </c>
      <c r="D9" s="15" t="n">
        <v>0.06</v>
      </c>
      <c r="E9" s="16" t="n">
        <f aca="false">IF($C$6=2,D9,C9)</f>
        <v>0.06</v>
      </c>
      <c r="F9" s="3"/>
      <c r="G9" s="3"/>
      <c r="H9" s="3"/>
      <c r="I9" s="3"/>
      <c r="J9" s="3"/>
      <c r="K9" s="3"/>
    </row>
    <row r="10" customFormat="false" ht="25" hidden="false" customHeight="true" outlineLevel="0" collapsed="false">
      <c r="A10" s="1"/>
      <c r="B10" s="1" t="s">
        <v>23</v>
      </c>
      <c r="C10" s="14" t="n">
        <v>100</v>
      </c>
      <c r="D10" s="14" t="n">
        <v>100</v>
      </c>
      <c r="E10" s="3" t="n">
        <f aca="false">IF($C$6=2,D10,C10)</f>
        <v>100</v>
      </c>
      <c r="F10" s="3"/>
      <c r="G10" s="3"/>
      <c r="H10" s="3"/>
      <c r="I10" s="3"/>
      <c r="J10" s="3"/>
      <c r="K10" s="3"/>
    </row>
    <row r="11" customFormat="false" ht="25" hidden="false" customHeight="true" outlineLevel="0" collapsed="false">
      <c r="A11" s="1"/>
      <c r="B11" s="1" t="s">
        <v>24</v>
      </c>
      <c r="C11" s="14" t="n">
        <v>12000000</v>
      </c>
      <c r="D11" s="14" t="n">
        <v>14300000</v>
      </c>
      <c r="E11" s="3" t="n">
        <f aca="false">IF($C$6=2,D11,C11)</f>
        <v>12000000</v>
      </c>
      <c r="F11" s="3"/>
      <c r="G11" s="3"/>
      <c r="H11" s="3"/>
      <c r="I11" s="3"/>
      <c r="J11" s="3"/>
      <c r="K11" s="3"/>
    </row>
    <row r="12" customFormat="false" ht="25" hidden="false" customHeight="true" outlineLevel="0" collapsed="false">
      <c r="A12" s="1"/>
      <c r="B12" s="1" t="s">
        <v>25</v>
      </c>
      <c r="C12" s="15" t="n">
        <v>0.1</v>
      </c>
      <c r="D12" s="15" t="n">
        <v>0.1</v>
      </c>
      <c r="E12" s="16" t="n">
        <f aca="false">IF($C$6=2,D12,C12)</f>
        <v>0.1</v>
      </c>
      <c r="F12" s="3"/>
      <c r="G12" s="3"/>
      <c r="H12" s="3"/>
      <c r="I12" s="3"/>
      <c r="J12" s="3"/>
      <c r="K12" s="3"/>
    </row>
    <row r="13" customFormat="false" ht="25" hidden="false" customHeight="true" outlineLevel="0" collapsed="false">
      <c r="A13" s="1"/>
      <c r="B13" s="1" t="s">
        <v>26</v>
      </c>
      <c r="C13" s="15" t="n">
        <v>0.075</v>
      </c>
      <c r="D13" s="15" t="n">
        <v>0.075</v>
      </c>
      <c r="E13" s="16" t="n">
        <f aca="false">IF($C$6=2,D13,C13)</f>
        <v>0.075</v>
      </c>
      <c r="F13" s="3"/>
      <c r="G13" s="3"/>
      <c r="H13" s="3"/>
      <c r="I13" s="3"/>
      <c r="J13" s="3"/>
      <c r="K13" s="3"/>
    </row>
    <row r="14" customFormat="false" ht="25" hidden="false" customHeight="true" outlineLevel="0" collapsed="false">
      <c r="A14" s="1"/>
      <c r="B14" s="1" t="s">
        <v>27</v>
      </c>
      <c r="C14" s="14" t="n">
        <v>24</v>
      </c>
      <c r="D14" s="14" t="n">
        <v>30</v>
      </c>
      <c r="E14" s="3" t="n">
        <f aca="false">IF($C$6=2,D14,C14)</f>
        <v>24</v>
      </c>
      <c r="F14" s="3"/>
      <c r="G14" s="3"/>
      <c r="H14" s="3"/>
      <c r="I14" s="3"/>
      <c r="J14" s="3"/>
      <c r="K14" s="3"/>
    </row>
    <row r="15" customFormat="false" ht="25" hidden="false" customHeight="true" outlineLevel="0" collapsed="false">
      <c r="A15" s="1"/>
      <c r="B15" s="1" t="s">
        <v>28</v>
      </c>
      <c r="C15" s="14" t="n">
        <v>12</v>
      </c>
      <c r="D15" s="14" t="n">
        <v>18</v>
      </c>
      <c r="E15" s="3" t="n">
        <f aca="false">IF($C$6=2,D15,C15)</f>
        <v>12</v>
      </c>
      <c r="F15" s="3"/>
      <c r="G15" s="3"/>
      <c r="H15" s="3"/>
      <c r="I15" s="3"/>
      <c r="J15" s="3"/>
      <c r="K15" s="3"/>
    </row>
    <row r="16" customFormat="false" ht="25" hidden="false" customHeight="true" outlineLevel="0" collapsed="false">
      <c r="A16" s="1"/>
      <c r="B16" s="1" t="s">
        <v>29</v>
      </c>
      <c r="C16" s="14" t="n">
        <v>1200</v>
      </c>
      <c r="D16" s="14" t="n">
        <v>1080</v>
      </c>
      <c r="E16" s="3" t="n">
        <f aca="false">IF($C$6=2,D16,C16)</f>
        <v>1200</v>
      </c>
      <c r="F16" s="3"/>
      <c r="G16" s="3"/>
      <c r="H16" s="3"/>
      <c r="I16" s="3"/>
      <c r="J16" s="3"/>
      <c r="K16" s="3"/>
    </row>
    <row r="17" customFormat="false" ht="25" hidden="false" customHeight="true" outlineLevel="0" collapsed="false">
      <c r="A17" s="1"/>
      <c r="B17" s="1" t="s">
        <v>30</v>
      </c>
      <c r="C17" s="15" t="n">
        <v>0.95</v>
      </c>
      <c r="D17" s="15" t="n">
        <v>0.88</v>
      </c>
      <c r="E17" s="16" t="n">
        <f aca="false">IF($C$6=2,D17,C17)</f>
        <v>0.95</v>
      </c>
      <c r="F17" s="3"/>
      <c r="G17" s="3"/>
      <c r="H17" s="3"/>
      <c r="I17" s="3"/>
      <c r="J17" s="3"/>
      <c r="K17" s="3"/>
    </row>
    <row r="18" customFormat="false" ht="25" hidden="false" customHeight="true" outlineLevel="0" collapsed="false">
      <c r="A18" s="1"/>
      <c r="B18" s="1" t="s">
        <v>31</v>
      </c>
      <c r="C18" s="15" t="n">
        <v>0.025</v>
      </c>
      <c r="D18" s="15" t="n">
        <v>0.01</v>
      </c>
      <c r="E18" s="16" t="n">
        <f aca="false">IF($C$6=2,D18,C18)</f>
        <v>0.025</v>
      </c>
      <c r="F18" s="3"/>
      <c r="G18" s="3"/>
      <c r="H18" s="3"/>
      <c r="I18" s="3"/>
      <c r="J18" s="3"/>
      <c r="K18" s="3"/>
    </row>
    <row r="19" customFormat="false" ht="25" hidden="false" customHeight="true" outlineLevel="0" collapsed="false">
      <c r="A19" s="1"/>
      <c r="B19" s="1" t="s">
        <v>32</v>
      </c>
      <c r="C19" s="15" t="n">
        <v>0.25</v>
      </c>
      <c r="D19" s="15" t="n">
        <v>0.29</v>
      </c>
      <c r="E19" s="16" t="n">
        <f aca="false">IF($C$6=2,D19,C19)</f>
        <v>0.25</v>
      </c>
      <c r="F19" s="3"/>
      <c r="G19" s="3"/>
      <c r="H19" s="3"/>
      <c r="I19" s="3"/>
      <c r="J19" s="3"/>
      <c r="K19" s="3"/>
    </row>
    <row r="20" customFormat="false" ht="25" hidden="false" customHeight="true" outlineLevel="0" collapsed="false">
      <c r="A20" s="1"/>
      <c r="B20" s="1" t="s">
        <v>33</v>
      </c>
      <c r="C20" s="15" t="n">
        <v>0.03</v>
      </c>
      <c r="D20" s="15" t="n">
        <v>0.03</v>
      </c>
      <c r="E20" s="16" t="n">
        <f aca="false">IF($C$6=2,D20,C20)</f>
        <v>0.03</v>
      </c>
      <c r="F20" s="3"/>
      <c r="G20" s="3"/>
      <c r="H20" s="3"/>
      <c r="I20" s="3"/>
      <c r="J20" s="3"/>
      <c r="K20" s="3"/>
    </row>
    <row r="21" customFormat="false" ht="25" hidden="false" customHeight="true" outlineLevel="0" collapsed="false">
      <c r="A21" s="1"/>
      <c r="B21" s="1" t="s">
        <v>34</v>
      </c>
      <c r="C21" s="15" t="n">
        <v>0.02</v>
      </c>
      <c r="D21" s="15" t="n">
        <v>0.02</v>
      </c>
      <c r="E21" s="16" t="n">
        <f aca="false">IF($C$6=2,D21,C21)</f>
        <v>0.02</v>
      </c>
      <c r="F21" s="3"/>
      <c r="G21" s="3"/>
      <c r="H21" s="3"/>
      <c r="I21" s="3"/>
      <c r="J21" s="3"/>
      <c r="K21" s="3"/>
    </row>
    <row r="22" customFormat="false" ht="25" hidden="false" customHeight="true" outlineLevel="0" collapsed="false">
      <c r="A22" s="1"/>
      <c r="B22" s="1" t="s">
        <v>35</v>
      </c>
      <c r="C22" s="15" t="n">
        <v>0.65</v>
      </c>
      <c r="D22" s="15" t="n">
        <v>0.65</v>
      </c>
      <c r="E22" s="16" t="n">
        <f aca="false">IF($C$6=2,D22,C22)</f>
        <v>0.65</v>
      </c>
      <c r="F22" s="3"/>
      <c r="G22" s="3"/>
      <c r="H22" s="3"/>
      <c r="I22" s="3"/>
      <c r="J22" s="3"/>
      <c r="K22" s="3"/>
    </row>
    <row r="23" customFormat="false" ht="25" hidden="false" customHeight="true" outlineLevel="0" collapsed="false">
      <c r="A23" s="1"/>
      <c r="B23" s="1" t="s">
        <v>36</v>
      </c>
      <c r="C23" s="15" t="n">
        <v>0.065</v>
      </c>
      <c r="D23" s="15" t="n">
        <v>0.08</v>
      </c>
      <c r="E23" s="16" t="n">
        <f aca="false">IF($C$6=2,D23,C23)</f>
        <v>0.065</v>
      </c>
      <c r="F23" s="3"/>
      <c r="G23" s="3"/>
      <c r="H23" s="3"/>
      <c r="I23" s="3"/>
      <c r="J23" s="3"/>
      <c r="K23" s="3"/>
    </row>
    <row r="24" customFormat="false" ht="25" hidden="false" customHeight="true" outlineLevel="0" collapsed="false">
      <c r="A24" s="1"/>
      <c r="B24" s="1" t="s">
        <v>37</v>
      </c>
      <c r="C24" s="14" t="n">
        <v>42</v>
      </c>
      <c r="D24" s="14" t="n">
        <v>48</v>
      </c>
      <c r="E24" s="3" t="n">
        <f aca="false">IF($C$6=2,D24,C24)</f>
        <v>42</v>
      </c>
      <c r="F24" s="3"/>
      <c r="G24" s="3"/>
      <c r="H24" s="3"/>
      <c r="I24" s="3"/>
      <c r="J24" s="3"/>
      <c r="K24" s="3"/>
    </row>
    <row r="25" customFormat="false" ht="25" hidden="false" customHeight="true" outlineLevel="0" collapsed="false">
      <c r="A25" s="1"/>
      <c r="B25" s="1" t="s">
        <v>38</v>
      </c>
      <c r="C25" s="15" t="n">
        <v>0.6</v>
      </c>
      <c r="D25" s="15" t="n">
        <v>0.6</v>
      </c>
      <c r="E25" s="16" t="n">
        <f aca="false">IF($C$6=2,D25,C25)</f>
        <v>0.6</v>
      </c>
      <c r="F25" s="3"/>
      <c r="G25" s="3"/>
      <c r="H25" s="3"/>
      <c r="I25" s="3"/>
      <c r="J25" s="3"/>
      <c r="K25" s="3"/>
    </row>
    <row r="26" customFormat="false" ht="25" hidden="false" customHeight="true" outlineLevel="0" collapsed="false">
      <c r="A26" s="1"/>
      <c r="B26" s="1" t="s">
        <v>39</v>
      </c>
      <c r="C26" s="17" t="n">
        <v>1.3</v>
      </c>
      <c r="D26" s="17" t="n">
        <v>1.3</v>
      </c>
      <c r="E26" s="18" t="n">
        <f aca="false">IF($C$6=2,D26,C26)</f>
        <v>1.3</v>
      </c>
      <c r="F26" s="3"/>
      <c r="G26" s="3"/>
      <c r="H26" s="3"/>
      <c r="I26" s="3"/>
      <c r="J26" s="3"/>
      <c r="K26" s="3"/>
    </row>
    <row r="27" customFormat="false" ht="25" hidden="false" customHeight="true" outlineLevel="0" collapsed="false">
      <c r="A27" s="1"/>
      <c r="B27" s="1" t="s">
        <v>40</v>
      </c>
      <c r="C27" s="15" t="n">
        <v>0.055</v>
      </c>
      <c r="D27" s="15" t="n">
        <v>0.065</v>
      </c>
      <c r="E27" s="16" t="n">
        <f aca="false">IF($C$6=2,D27,C27)</f>
        <v>0.055</v>
      </c>
      <c r="F27" s="3"/>
      <c r="G27" s="3"/>
      <c r="H27" s="3"/>
      <c r="I27" s="3"/>
      <c r="J27" s="3"/>
      <c r="K27" s="3"/>
    </row>
    <row r="28" customFormat="false" ht="25" hidden="false" customHeight="true" outlineLevel="0" collapsed="false">
      <c r="A28" s="1"/>
      <c r="B28" s="1" t="s">
        <v>41</v>
      </c>
      <c r="C28" s="15" t="n">
        <v>0.0575</v>
      </c>
      <c r="D28" s="15" t="n">
        <v>0.0675</v>
      </c>
      <c r="E28" s="16" t="n">
        <f aca="false">IF($C$6=2,D28,C28)</f>
        <v>0.0575</v>
      </c>
      <c r="F28" s="3"/>
      <c r="G28" s="3"/>
      <c r="H28" s="3"/>
      <c r="I28" s="3"/>
      <c r="J28" s="3"/>
      <c r="K28" s="3"/>
    </row>
    <row r="29" customFormat="false" ht="25" hidden="false" customHeight="true" outlineLevel="0" collapsed="false">
      <c r="A29" s="1"/>
      <c r="B29" s="1" t="s">
        <v>42</v>
      </c>
      <c r="C29" s="15" t="n">
        <v>0.02</v>
      </c>
      <c r="D29" s="15" t="n">
        <v>0.02</v>
      </c>
      <c r="E29" s="16" t="n">
        <f aca="false">IF($C$6=2,D29,C29)</f>
        <v>0.02</v>
      </c>
      <c r="F29" s="3"/>
      <c r="G29" s="3"/>
      <c r="H29" s="3"/>
      <c r="I29" s="3"/>
      <c r="J29" s="3"/>
      <c r="K29" s="3"/>
    </row>
    <row r="30" customFormat="false" ht="25" hidden="false" customHeight="true" outlineLevel="0" collapsed="false">
      <c r="A30" s="1"/>
      <c r="B30" s="1" t="s">
        <v>43</v>
      </c>
      <c r="C30" s="15" t="n">
        <v>0.12</v>
      </c>
      <c r="D30" s="15" t="n">
        <v>0.12</v>
      </c>
      <c r="E30" s="16" t="n">
        <f aca="false">IF($C$6=2,D30,C30)</f>
        <v>0.12</v>
      </c>
      <c r="F30" s="3"/>
      <c r="G30" s="3"/>
      <c r="H30" s="3"/>
      <c r="I30" s="3"/>
      <c r="J30" s="3"/>
      <c r="K30" s="3"/>
    </row>
    <row r="31" customFormat="false" ht="25" hidden="false" customHeight="true" outlineLevel="0" collapsed="false">
      <c r="A31" s="1"/>
      <c r="B31" s="1" t="s">
        <v>44</v>
      </c>
      <c r="C31" s="14" t="n">
        <v>12</v>
      </c>
      <c r="D31" s="14" t="n">
        <v>12</v>
      </c>
      <c r="E31" s="3" t="n">
        <f aca="false">IF($C$6=2,D31,C31)</f>
        <v>12</v>
      </c>
      <c r="F31" s="3"/>
      <c r="G31" s="3"/>
      <c r="H31" s="3"/>
      <c r="I31" s="3"/>
      <c r="J31" s="3"/>
      <c r="K31" s="3"/>
    </row>
    <row r="32" customFormat="false" ht="25" hidden="false" customHeight="true" outlineLevel="0" collapsed="false">
      <c r="A32" s="1"/>
      <c r="B32" s="1" t="s">
        <v>45</v>
      </c>
      <c r="C32" s="15" t="n">
        <v>0</v>
      </c>
      <c r="D32" s="15" t="n">
        <v>0</v>
      </c>
      <c r="E32" s="16" t="n">
        <f aca="false">IF($C$6=2,D32,C32)</f>
        <v>0</v>
      </c>
      <c r="F32" s="3"/>
      <c r="G32" s="3"/>
      <c r="H32" s="3"/>
      <c r="I32" s="3"/>
      <c r="J32" s="3"/>
      <c r="K32" s="3"/>
    </row>
    <row r="33" customFormat="false" ht="25" hidden="false" customHeight="true" outlineLevel="0" collapsed="false">
      <c r="A33" s="1"/>
      <c r="B33" s="1" t="s">
        <v>46</v>
      </c>
      <c r="C33" s="14" t="n">
        <v>0</v>
      </c>
      <c r="D33" s="14" t="n">
        <v>0</v>
      </c>
      <c r="E33" s="3" t="n">
        <f aca="false">IF($C$6=2,D33,C33)</f>
        <v>0</v>
      </c>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dataValidations count="1">
    <dataValidation allowBlank="false" errorStyle="stop" operator="between" showDropDown="false" showErrorMessage="false" showInputMessage="false" sqref="C6" type="list">
      <formula1>"1,2"</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63" min="3" style="0" width="16"/>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47</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t="s">
        <v>48</v>
      </c>
      <c r="C6" s="19" t="n">
        <f aca="false">0</f>
        <v>0</v>
      </c>
      <c r="D6" s="19" t="n">
        <f aca="false">1</f>
        <v>1</v>
      </c>
      <c r="E6" s="19" t="n">
        <f aca="false">2</f>
        <v>2</v>
      </c>
      <c r="F6" s="19" t="n">
        <f aca="false">3</f>
        <v>3</v>
      </c>
      <c r="G6" s="19" t="n">
        <f aca="false">4</f>
        <v>4</v>
      </c>
      <c r="H6" s="19" t="n">
        <f aca="false">5</f>
        <v>5</v>
      </c>
      <c r="I6" s="19" t="n">
        <f aca="false">6</f>
        <v>6</v>
      </c>
      <c r="J6" s="19" t="n">
        <f aca="false">7</f>
        <v>7</v>
      </c>
      <c r="K6" s="19" t="n">
        <f aca="false">8</f>
        <v>8</v>
      </c>
      <c r="L6" s="20" t="n">
        <f aca="false">9</f>
        <v>9</v>
      </c>
      <c r="M6" s="20" t="n">
        <f aca="false">10</f>
        <v>10</v>
      </c>
      <c r="N6" s="20" t="n">
        <f aca="false">11</f>
        <v>11</v>
      </c>
      <c r="O6" s="20" t="n">
        <f aca="false">12</f>
        <v>12</v>
      </c>
      <c r="P6" s="20" t="n">
        <f aca="false">13</f>
        <v>13</v>
      </c>
      <c r="Q6" s="20" t="n">
        <f aca="false">14</f>
        <v>14</v>
      </c>
      <c r="R6" s="20" t="n">
        <f aca="false">15</f>
        <v>15</v>
      </c>
      <c r="S6" s="20" t="n">
        <f aca="false">16</f>
        <v>16</v>
      </c>
      <c r="T6" s="20" t="n">
        <f aca="false">17</f>
        <v>17</v>
      </c>
      <c r="U6" s="20" t="n">
        <f aca="false">18</f>
        <v>18</v>
      </c>
      <c r="V6" s="20" t="n">
        <f aca="false">19</f>
        <v>19</v>
      </c>
      <c r="W6" s="20" t="n">
        <f aca="false">20</f>
        <v>20</v>
      </c>
      <c r="X6" s="20" t="n">
        <f aca="false">21</f>
        <v>21</v>
      </c>
      <c r="Y6" s="20" t="n">
        <f aca="false">22</f>
        <v>22</v>
      </c>
      <c r="Z6" s="20" t="n">
        <f aca="false">23</f>
        <v>23</v>
      </c>
      <c r="AA6" s="20" t="n">
        <f aca="false">24</f>
        <v>24</v>
      </c>
      <c r="AB6" s="20" t="n">
        <f aca="false">25</f>
        <v>25</v>
      </c>
      <c r="AC6" s="20" t="n">
        <f aca="false">26</f>
        <v>26</v>
      </c>
      <c r="AD6" s="20" t="n">
        <f aca="false">27</f>
        <v>27</v>
      </c>
      <c r="AE6" s="20" t="n">
        <f aca="false">28</f>
        <v>28</v>
      </c>
      <c r="AF6" s="20" t="n">
        <f aca="false">29</f>
        <v>29</v>
      </c>
      <c r="AG6" s="20" t="n">
        <f aca="false">30</f>
        <v>30</v>
      </c>
      <c r="AH6" s="20" t="n">
        <f aca="false">31</f>
        <v>31</v>
      </c>
      <c r="AI6" s="20" t="n">
        <f aca="false">32</f>
        <v>32</v>
      </c>
      <c r="AJ6" s="20" t="n">
        <f aca="false">33</f>
        <v>33</v>
      </c>
      <c r="AK6" s="20" t="n">
        <f aca="false">34</f>
        <v>34</v>
      </c>
      <c r="AL6" s="20" t="n">
        <f aca="false">35</f>
        <v>35</v>
      </c>
      <c r="AM6" s="20" t="n">
        <f aca="false">36</f>
        <v>36</v>
      </c>
      <c r="AN6" s="20" t="n">
        <f aca="false">37</f>
        <v>37</v>
      </c>
      <c r="AO6" s="20" t="n">
        <f aca="false">38</f>
        <v>38</v>
      </c>
      <c r="AP6" s="20" t="n">
        <f aca="false">39</f>
        <v>39</v>
      </c>
      <c r="AQ6" s="20" t="n">
        <f aca="false">40</f>
        <v>40</v>
      </c>
      <c r="AR6" s="20" t="n">
        <f aca="false">41</f>
        <v>41</v>
      </c>
      <c r="AS6" s="20" t="n">
        <f aca="false">42</f>
        <v>42</v>
      </c>
      <c r="AT6" s="20" t="n">
        <f aca="false">43</f>
        <v>43</v>
      </c>
      <c r="AU6" s="20" t="n">
        <f aca="false">44</f>
        <v>44</v>
      </c>
      <c r="AV6" s="20" t="n">
        <f aca="false">45</f>
        <v>45</v>
      </c>
      <c r="AW6" s="20" t="n">
        <f aca="false">46</f>
        <v>46</v>
      </c>
      <c r="AX6" s="20" t="n">
        <f aca="false">47</f>
        <v>47</v>
      </c>
      <c r="AY6" s="20" t="n">
        <f aca="false">48</f>
        <v>48</v>
      </c>
      <c r="AZ6" s="20" t="n">
        <f aca="false">49</f>
        <v>49</v>
      </c>
      <c r="BA6" s="20" t="n">
        <f aca="false">50</f>
        <v>50</v>
      </c>
      <c r="BB6" s="20" t="n">
        <f aca="false">51</f>
        <v>51</v>
      </c>
      <c r="BC6" s="20" t="n">
        <f aca="false">52</f>
        <v>52</v>
      </c>
      <c r="BD6" s="20" t="n">
        <f aca="false">53</f>
        <v>53</v>
      </c>
      <c r="BE6" s="20" t="n">
        <f aca="false">54</f>
        <v>54</v>
      </c>
      <c r="BF6" s="20" t="n">
        <f aca="false">55</f>
        <v>55</v>
      </c>
      <c r="BG6" s="20" t="n">
        <f aca="false">56</f>
        <v>56</v>
      </c>
      <c r="BH6" s="20" t="n">
        <f aca="false">57</f>
        <v>57</v>
      </c>
      <c r="BI6" s="20" t="n">
        <f aca="false">58</f>
        <v>58</v>
      </c>
      <c r="BJ6" s="20" t="n">
        <f aca="false">59</f>
        <v>59</v>
      </c>
      <c r="BK6" s="20" t="n">
        <f aca="false">60</f>
        <v>60</v>
      </c>
    </row>
    <row r="7" customFormat="false" ht="25" hidden="false" customHeight="true" outlineLevel="0" collapsed="false">
      <c r="A7" s="1"/>
      <c r="B7" s="1" t="s">
        <v>49</v>
      </c>
      <c r="C7" s="3" t="n">
        <f aca="false">0</f>
        <v>0</v>
      </c>
      <c r="D7" s="3" t="n">
        <f aca="false">IF(D$6&lt;=Assumptions!$E$14,(Assumptions!$E$11*(1+Assumptions!$E$12+Assumptions!$E$13)+Assumptions!$E$33)/Assumptions!$E$14,0)</f>
        <v>587500</v>
      </c>
      <c r="E7" s="3" t="n">
        <f aca="false">IF(E$6&lt;=Assumptions!$E$14,(Assumptions!$E$11*(1+Assumptions!$E$12+Assumptions!$E$13)+Assumptions!$E$33)/Assumptions!$E$14,0)</f>
        <v>587500</v>
      </c>
      <c r="F7" s="3" t="n">
        <f aca="false">IF(F$6&lt;=Assumptions!$E$14,(Assumptions!$E$11*(1+Assumptions!$E$12+Assumptions!$E$13)+Assumptions!$E$33)/Assumptions!$E$14,0)</f>
        <v>587500</v>
      </c>
      <c r="G7" s="3" t="n">
        <f aca="false">IF(G$6&lt;=Assumptions!$E$14,(Assumptions!$E$11*(1+Assumptions!$E$12+Assumptions!$E$13)+Assumptions!$E$33)/Assumptions!$E$14,0)</f>
        <v>587500</v>
      </c>
      <c r="H7" s="3" t="n">
        <f aca="false">IF(H$6&lt;=Assumptions!$E$14,(Assumptions!$E$11*(1+Assumptions!$E$12+Assumptions!$E$13)+Assumptions!$E$33)/Assumptions!$E$14,0)</f>
        <v>587500</v>
      </c>
      <c r="I7" s="3" t="n">
        <f aca="false">IF(I$6&lt;=Assumptions!$E$14,(Assumptions!$E$11*(1+Assumptions!$E$12+Assumptions!$E$13)+Assumptions!$E$33)/Assumptions!$E$14,0)</f>
        <v>587500</v>
      </c>
      <c r="J7" s="3" t="n">
        <f aca="false">IF(J$6&lt;=Assumptions!$E$14,(Assumptions!$E$11*(1+Assumptions!$E$12+Assumptions!$E$13)+Assumptions!$E$33)/Assumptions!$E$14,0)</f>
        <v>587500</v>
      </c>
      <c r="K7" s="3" t="n">
        <f aca="false">IF(K$6&lt;=Assumptions!$E$14,(Assumptions!$E$11*(1+Assumptions!$E$12+Assumptions!$E$13)+Assumptions!$E$33)/Assumptions!$E$14,0)</f>
        <v>587500</v>
      </c>
      <c r="L7" s="0" t="n">
        <f aca="false">IF(L$6&lt;=Assumptions!$E$14,(Assumptions!$E$11*(1+Assumptions!$E$12+Assumptions!$E$13)+Assumptions!$E$33)/Assumptions!$E$14,0)</f>
        <v>587500</v>
      </c>
      <c r="M7" s="0" t="n">
        <f aca="false">IF(M$6&lt;=Assumptions!$E$14,(Assumptions!$E$11*(1+Assumptions!$E$12+Assumptions!$E$13)+Assumptions!$E$33)/Assumptions!$E$14,0)</f>
        <v>587500</v>
      </c>
      <c r="N7" s="0" t="n">
        <f aca="false">IF(N$6&lt;=Assumptions!$E$14,(Assumptions!$E$11*(1+Assumptions!$E$12+Assumptions!$E$13)+Assumptions!$E$33)/Assumptions!$E$14,0)</f>
        <v>587500</v>
      </c>
      <c r="O7" s="0" t="n">
        <f aca="false">IF(O$6&lt;=Assumptions!$E$14,(Assumptions!$E$11*(1+Assumptions!$E$12+Assumptions!$E$13)+Assumptions!$E$33)/Assumptions!$E$14,0)</f>
        <v>587500</v>
      </c>
      <c r="P7" s="0" t="n">
        <f aca="false">IF(P$6&lt;=Assumptions!$E$14,(Assumptions!$E$11*(1+Assumptions!$E$12+Assumptions!$E$13)+Assumptions!$E$33)/Assumptions!$E$14,0)</f>
        <v>587500</v>
      </c>
      <c r="Q7" s="0" t="n">
        <f aca="false">IF(Q$6&lt;=Assumptions!$E$14,(Assumptions!$E$11*(1+Assumptions!$E$12+Assumptions!$E$13)+Assumptions!$E$33)/Assumptions!$E$14,0)</f>
        <v>587500</v>
      </c>
      <c r="R7" s="0" t="n">
        <f aca="false">IF(R$6&lt;=Assumptions!$E$14,(Assumptions!$E$11*(1+Assumptions!$E$12+Assumptions!$E$13)+Assumptions!$E$33)/Assumptions!$E$14,0)</f>
        <v>587500</v>
      </c>
      <c r="S7" s="0" t="n">
        <f aca="false">IF(S$6&lt;=Assumptions!$E$14,(Assumptions!$E$11*(1+Assumptions!$E$12+Assumptions!$E$13)+Assumptions!$E$33)/Assumptions!$E$14,0)</f>
        <v>587500</v>
      </c>
      <c r="T7" s="0" t="n">
        <f aca="false">IF(T$6&lt;=Assumptions!$E$14,(Assumptions!$E$11*(1+Assumptions!$E$12+Assumptions!$E$13)+Assumptions!$E$33)/Assumptions!$E$14,0)</f>
        <v>587500</v>
      </c>
      <c r="U7" s="0" t="n">
        <f aca="false">IF(U$6&lt;=Assumptions!$E$14,(Assumptions!$E$11*(1+Assumptions!$E$12+Assumptions!$E$13)+Assumptions!$E$33)/Assumptions!$E$14,0)</f>
        <v>587500</v>
      </c>
      <c r="V7" s="0" t="n">
        <f aca="false">IF(V$6&lt;=Assumptions!$E$14,(Assumptions!$E$11*(1+Assumptions!$E$12+Assumptions!$E$13)+Assumptions!$E$33)/Assumptions!$E$14,0)</f>
        <v>587500</v>
      </c>
      <c r="W7" s="0" t="n">
        <f aca="false">IF(W$6&lt;=Assumptions!$E$14,(Assumptions!$E$11*(1+Assumptions!$E$12+Assumptions!$E$13)+Assumptions!$E$33)/Assumptions!$E$14,0)</f>
        <v>587500</v>
      </c>
      <c r="X7" s="0" t="n">
        <f aca="false">IF(X$6&lt;=Assumptions!$E$14,(Assumptions!$E$11*(1+Assumptions!$E$12+Assumptions!$E$13)+Assumptions!$E$33)/Assumptions!$E$14,0)</f>
        <v>587500</v>
      </c>
      <c r="Y7" s="0" t="n">
        <f aca="false">IF(Y$6&lt;=Assumptions!$E$14,(Assumptions!$E$11*(1+Assumptions!$E$12+Assumptions!$E$13)+Assumptions!$E$33)/Assumptions!$E$14,0)</f>
        <v>587500</v>
      </c>
      <c r="Z7" s="0" t="n">
        <f aca="false">IF(Z$6&lt;=Assumptions!$E$14,(Assumptions!$E$11*(1+Assumptions!$E$12+Assumptions!$E$13)+Assumptions!$E$33)/Assumptions!$E$14,0)</f>
        <v>587500</v>
      </c>
      <c r="AA7" s="0" t="n">
        <f aca="false">IF(AA$6&lt;=Assumptions!$E$14,(Assumptions!$E$11*(1+Assumptions!$E$12+Assumptions!$E$13)+Assumptions!$E$33)/Assumptions!$E$14,0)</f>
        <v>587500</v>
      </c>
      <c r="AB7" s="0" t="n">
        <f aca="false">IF(AB$6&lt;=Assumptions!$E$14,(Assumptions!$E$11*(1+Assumptions!$E$12+Assumptions!$E$13)+Assumptions!$E$33)/Assumptions!$E$14,0)</f>
        <v>0</v>
      </c>
      <c r="AC7" s="0" t="n">
        <f aca="false">IF(AC$6&lt;=Assumptions!$E$14,(Assumptions!$E$11*(1+Assumptions!$E$12+Assumptions!$E$13)+Assumptions!$E$33)/Assumptions!$E$14,0)</f>
        <v>0</v>
      </c>
      <c r="AD7" s="0" t="n">
        <f aca="false">IF(AD$6&lt;=Assumptions!$E$14,(Assumptions!$E$11*(1+Assumptions!$E$12+Assumptions!$E$13)+Assumptions!$E$33)/Assumptions!$E$14,0)</f>
        <v>0</v>
      </c>
      <c r="AE7" s="0" t="n">
        <f aca="false">IF(AE$6&lt;=Assumptions!$E$14,(Assumptions!$E$11*(1+Assumptions!$E$12+Assumptions!$E$13)+Assumptions!$E$33)/Assumptions!$E$14,0)</f>
        <v>0</v>
      </c>
      <c r="AF7" s="0" t="n">
        <f aca="false">IF(AF$6&lt;=Assumptions!$E$14,(Assumptions!$E$11*(1+Assumptions!$E$12+Assumptions!$E$13)+Assumptions!$E$33)/Assumptions!$E$14,0)</f>
        <v>0</v>
      </c>
      <c r="AG7" s="0" t="n">
        <f aca="false">IF(AG$6&lt;=Assumptions!$E$14,(Assumptions!$E$11*(1+Assumptions!$E$12+Assumptions!$E$13)+Assumptions!$E$33)/Assumptions!$E$14,0)</f>
        <v>0</v>
      </c>
      <c r="AH7" s="0" t="n">
        <f aca="false">IF(AH$6&lt;=Assumptions!$E$14,(Assumptions!$E$11*(1+Assumptions!$E$12+Assumptions!$E$13)+Assumptions!$E$33)/Assumptions!$E$14,0)</f>
        <v>0</v>
      </c>
      <c r="AI7" s="0" t="n">
        <f aca="false">IF(AI$6&lt;=Assumptions!$E$14,(Assumptions!$E$11*(1+Assumptions!$E$12+Assumptions!$E$13)+Assumptions!$E$33)/Assumptions!$E$14,0)</f>
        <v>0</v>
      </c>
      <c r="AJ7" s="0" t="n">
        <f aca="false">IF(AJ$6&lt;=Assumptions!$E$14,(Assumptions!$E$11*(1+Assumptions!$E$12+Assumptions!$E$13)+Assumptions!$E$33)/Assumptions!$E$14,0)</f>
        <v>0</v>
      </c>
      <c r="AK7" s="0" t="n">
        <f aca="false">IF(AK$6&lt;=Assumptions!$E$14,(Assumptions!$E$11*(1+Assumptions!$E$12+Assumptions!$E$13)+Assumptions!$E$33)/Assumptions!$E$14,0)</f>
        <v>0</v>
      </c>
      <c r="AL7" s="0" t="n">
        <f aca="false">IF(AL$6&lt;=Assumptions!$E$14,(Assumptions!$E$11*(1+Assumptions!$E$12+Assumptions!$E$13)+Assumptions!$E$33)/Assumptions!$E$14,0)</f>
        <v>0</v>
      </c>
      <c r="AM7" s="0" t="n">
        <f aca="false">IF(AM$6&lt;=Assumptions!$E$14,(Assumptions!$E$11*(1+Assumptions!$E$12+Assumptions!$E$13)+Assumptions!$E$33)/Assumptions!$E$14,0)</f>
        <v>0</v>
      </c>
      <c r="AN7" s="0" t="n">
        <f aca="false">IF(AN$6&lt;=Assumptions!$E$14,(Assumptions!$E$11*(1+Assumptions!$E$12+Assumptions!$E$13)+Assumptions!$E$33)/Assumptions!$E$14,0)</f>
        <v>0</v>
      </c>
      <c r="AO7" s="0" t="n">
        <f aca="false">IF(AO$6&lt;=Assumptions!$E$14,(Assumptions!$E$11*(1+Assumptions!$E$12+Assumptions!$E$13)+Assumptions!$E$33)/Assumptions!$E$14,0)</f>
        <v>0</v>
      </c>
      <c r="AP7" s="0" t="n">
        <f aca="false">IF(AP$6&lt;=Assumptions!$E$14,(Assumptions!$E$11*(1+Assumptions!$E$12+Assumptions!$E$13)+Assumptions!$E$33)/Assumptions!$E$14,0)</f>
        <v>0</v>
      </c>
      <c r="AQ7" s="0" t="n">
        <f aca="false">IF(AQ$6&lt;=Assumptions!$E$14,(Assumptions!$E$11*(1+Assumptions!$E$12+Assumptions!$E$13)+Assumptions!$E$33)/Assumptions!$E$14,0)</f>
        <v>0</v>
      </c>
      <c r="AR7" s="0" t="n">
        <f aca="false">IF(AR$6&lt;=Assumptions!$E$14,(Assumptions!$E$11*(1+Assumptions!$E$12+Assumptions!$E$13)+Assumptions!$E$33)/Assumptions!$E$14,0)</f>
        <v>0</v>
      </c>
      <c r="AS7" s="0" t="n">
        <f aca="false">IF(AS$6&lt;=Assumptions!$E$14,(Assumptions!$E$11*(1+Assumptions!$E$12+Assumptions!$E$13)+Assumptions!$E$33)/Assumptions!$E$14,0)</f>
        <v>0</v>
      </c>
      <c r="AT7" s="0" t="n">
        <f aca="false">IF(AT$6&lt;=Assumptions!$E$14,(Assumptions!$E$11*(1+Assumptions!$E$12+Assumptions!$E$13)+Assumptions!$E$33)/Assumptions!$E$14,0)</f>
        <v>0</v>
      </c>
      <c r="AU7" s="0" t="n">
        <f aca="false">IF(AU$6&lt;=Assumptions!$E$14,(Assumptions!$E$11*(1+Assumptions!$E$12+Assumptions!$E$13)+Assumptions!$E$33)/Assumptions!$E$14,0)</f>
        <v>0</v>
      </c>
      <c r="AV7" s="0" t="n">
        <f aca="false">IF(AV$6&lt;=Assumptions!$E$14,(Assumptions!$E$11*(1+Assumptions!$E$12+Assumptions!$E$13)+Assumptions!$E$33)/Assumptions!$E$14,0)</f>
        <v>0</v>
      </c>
      <c r="AW7" s="0" t="n">
        <f aca="false">IF(AW$6&lt;=Assumptions!$E$14,(Assumptions!$E$11*(1+Assumptions!$E$12+Assumptions!$E$13)+Assumptions!$E$33)/Assumptions!$E$14,0)</f>
        <v>0</v>
      </c>
      <c r="AX7" s="0" t="n">
        <f aca="false">IF(AX$6&lt;=Assumptions!$E$14,(Assumptions!$E$11*(1+Assumptions!$E$12+Assumptions!$E$13)+Assumptions!$E$33)/Assumptions!$E$14,0)</f>
        <v>0</v>
      </c>
      <c r="AY7" s="0" t="n">
        <f aca="false">IF(AY$6&lt;=Assumptions!$E$14,(Assumptions!$E$11*(1+Assumptions!$E$12+Assumptions!$E$13)+Assumptions!$E$33)/Assumptions!$E$14,0)</f>
        <v>0</v>
      </c>
      <c r="AZ7" s="0" t="n">
        <f aca="false">IF(AZ$6&lt;=Assumptions!$E$14,(Assumptions!$E$11*(1+Assumptions!$E$12+Assumptions!$E$13)+Assumptions!$E$33)/Assumptions!$E$14,0)</f>
        <v>0</v>
      </c>
      <c r="BA7" s="0" t="n">
        <f aca="false">IF(BA$6&lt;=Assumptions!$E$14,(Assumptions!$E$11*(1+Assumptions!$E$12+Assumptions!$E$13)+Assumptions!$E$33)/Assumptions!$E$14,0)</f>
        <v>0</v>
      </c>
      <c r="BB7" s="0" t="n">
        <f aca="false">IF(BB$6&lt;=Assumptions!$E$14,(Assumptions!$E$11*(1+Assumptions!$E$12+Assumptions!$E$13)+Assumptions!$E$33)/Assumptions!$E$14,0)</f>
        <v>0</v>
      </c>
      <c r="BC7" s="0" t="n">
        <f aca="false">IF(BC$6&lt;=Assumptions!$E$14,(Assumptions!$E$11*(1+Assumptions!$E$12+Assumptions!$E$13)+Assumptions!$E$33)/Assumptions!$E$14,0)</f>
        <v>0</v>
      </c>
      <c r="BD7" s="0" t="n">
        <f aca="false">IF(BD$6&lt;=Assumptions!$E$14,(Assumptions!$E$11*(1+Assumptions!$E$12+Assumptions!$E$13)+Assumptions!$E$33)/Assumptions!$E$14,0)</f>
        <v>0</v>
      </c>
      <c r="BE7" s="0" t="n">
        <f aca="false">IF(BE$6&lt;=Assumptions!$E$14,(Assumptions!$E$11*(1+Assumptions!$E$12+Assumptions!$E$13)+Assumptions!$E$33)/Assumptions!$E$14,0)</f>
        <v>0</v>
      </c>
      <c r="BF7" s="0" t="n">
        <f aca="false">IF(BF$6&lt;=Assumptions!$E$14,(Assumptions!$E$11*(1+Assumptions!$E$12+Assumptions!$E$13)+Assumptions!$E$33)/Assumptions!$E$14,0)</f>
        <v>0</v>
      </c>
      <c r="BG7" s="0" t="n">
        <f aca="false">IF(BG$6&lt;=Assumptions!$E$14,(Assumptions!$E$11*(1+Assumptions!$E$12+Assumptions!$E$13)+Assumptions!$E$33)/Assumptions!$E$14,0)</f>
        <v>0</v>
      </c>
      <c r="BH7" s="0" t="n">
        <f aca="false">IF(BH$6&lt;=Assumptions!$E$14,(Assumptions!$E$11*(1+Assumptions!$E$12+Assumptions!$E$13)+Assumptions!$E$33)/Assumptions!$E$14,0)</f>
        <v>0</v>
      </c>
      <c r="BI7" s="0" t="n">
        <f aca="false">IF(BI$6&lt;=Assumptions!$E$14,(Assumptions!$E$11*(1+Assumptions!$E$12+Assumptions!$E$13)+Assumptions!$E$33)/Assumptions!$E$14,0)</f>
        <v>0</v>
      </c>
      <c r="BJ7" s="0" t="n">
        <f aca="false">IF(BJ$6&lt;=Assumptions!$E$14,(Assumptions!$E$11*(1+Assumptions!$E$12+Assumptions!$E$13)+Assumptions!$E$33)/Assumptions!$E$14,0)</f>
        <v>0</v>
      </c>
      <c r="BK7" s="0" t="n">
        <f aca="false">IF(BK$6&lt;=Assumptions!$E$14,(Assumptions!$E$11*(1+Assumptions!$E$12+Assumptions!$E$13)+Assumptions!$E$33)/Assumptions!$E$14,0)</f>
        <v>0</v>
      </c>
    </row>
    <row r="8" customFormat="false" ht="25" hidden="false" customHeight="true" outlineLevel="0" collapsed="false">
      <c r="A8" s="1"/>
      <c r="B8" s="1" t="s">
        <v>50</v>
      </c>
      <c r="C8" s="3" t="n">
        <f aca="false">Assumptions!$E$8*(1+Assumptions!$E$9)</f>
        <v>4240000</v>
      </c>
      <c r="D8" s="3" t="n">
        <f aca="false">0</f>
        <v>0</v>
      </c>
      <c r="E8" s="3" t="n">
        <f aca="false">0</f>
        <v>0</v>
      </c>
      <c r="F8" s="3" t="n">
        <f aca="false">0</f>
        <v>0</v>
      </c>
      <c r="G8" s="3" t="n">
        <f aca="false">0</f>
        <v>0</v>
      </c>
      <c r="H8" s="3" t="n">
        <f aca="false">0</f>
        <v>0</v>
      </c>
      <c r="I8" s="3" t="n">
        <f aca="false">0</f>
        <v>0</v>
      </c>
      <c r="J8" s="3" t="n">
        <f aca="false">0</f>
        <v>0</v>
      </c>
      <c r="K8" s="3" t="n">
        <f aca="false">0</f>
        <v>0</v>
      </c>
      <c r="L8" s="0" t="n">
        <f aca="false">0</f>
        <v>0</v>
      </c>
      <c r="M8" s="0" t="n">
        <f aca="false">0</f>
        <v>0</v>
      </c>
      <c r="N8" s="0" t="n">
        <f aca="false">0</f>
        <v>0</v>
      </c>
      <c r="O8" s="0" t="n">
        <f aca="false">0</f>
        <v>0</v>
      </c>
      <c r="P8" s="0" t="n">
        <f aca="false">0</f>
        <v>0</v>
      </c>
      <c r="Q8" s="0" t="n">
        <f aca="false">0</f>
        <v>0</v>
      </c>
      <c r="R8" s="0" t="n">
        <f aca="false">0</f>
        <v>0</v>
      </c>
      <c r="S8" s="0" t="n">
        <f aca="false">0</f>
        <v>0</v>
      </c>
      <c r="T8" s="0" t="n">
        <f aca="false">0</f>
        <v>0</v>
      </c>
      <c r="U8" s="0" t="n">
        <f aca="false">0</f>
        <v>0</v>
      </c>
      <c r="V8" s="0" t="n">
        <f aca="false">0</f>
        <v>0</v>
      </c>
      <c r="W8" s="0" t="n">
        <f aca="false">0</f>
        <v>0</v>
      </c>
      <c r="X8" s="0" t="n">
        <f aca="false">0</f>
        <v>0</v>
      </c>
      <c r="Y8" s="0" t="n">
        <f aca="false">0</f>
        <v>0</v>
      </c>
      <c r="Z8" s="0" t="n">
        <f aca="false">0</f>
        <v>0</v>
      </c>
      <c r="AA8" s="0" t="n">
        <f aca="false">0</f>
        <v>0</v>
      </c>
      <c r="AB8" s="0" t="n">
        <f aca="false">0</f>
        <v>0</v>
      </c>
      <c r="AC8" s="0" t="n">
        <f aca="false">0</f>
        <v>0</v>
      </c>
      <c r="AD8" s="0" t="n">
        <f aca="false">0</f>
        <v>0</v>
      </c>
      <c r="AE8" s="0" t="n">
        <f aca="false">0</f>
        <v>0</v>
      </c>
      <c r="AF8" s="0" t="n">
        <f aca="false">0</f>
        <v>0</v>
      </c>
      <c r="AG8" s="0" t="n">
        <f aca="false">0</f>
        <v>0</v>
      </c>
      <c r="AH8" s="0" t="n">
        <f aca="false">0</f>
        <v>0</v>
      </c>
      <c r="AI8" s="0" t="n">
        <f aca="false">0</f>
        <v>0</v>
      </c>
      <c r="AJ8" s="0" t="n">
        <f aca="false">0</f>
        <v>0</v>
      </c>
      <c r="AK8" s="0" t="n">
        <f aca="false">0</f>
        <v>0</v>
      </c>
      <c r="AL8" s="0" t="n">
        <f aca="false">0</f>
        <v>0</v>
      </c>
      <c r="AM8" s="0" t="n">
        <f aca="false">0</f>
        <v>0</v>
      </c>
      <c r="AN8" s="0" t="n">
        <f aca="false">0</f>
        <v>0</v>
      </c>
      <c r="AO8" s="0" t="n">
        <f aca="false">0</f>
        <v>0</v>
      </c>
      <c r="AP8" s="0" t="n">
        <f aca="false">0</f>
        <v>0</v>
      </c>
      <c r="AQ8" s="0" t="n">
        <f aca="false">0</f>
        <v>0</v>
      </c>
      <c r="AR8" s="0" t="n">
        <f aca="false">0</f>
        <v>0</v>
      </c>
      <c r="AS8" s="0" t="n">
        <f aca="false">0</f>
        <v>0</v>
      </c>
      <c r="AT8" s="0" t="n">
        <f aca="false">0</f>
        <v>0</v>
      </c>
      <c r="AU8" s="0" t="n">
        <f aca="false">0</f>
        <v>0</v>
      </c>
      <c r="AV8" s="0" t="n">
        <f aca="false">0</f>
        <v>0</v>
      </c>
      <c r="AW8" s="0" t="n">
        <f aca="false">0</f>
        <v>0</v>
      </c>
      <c r="AX8" s="0" t="n">
        <f aca="false">0</f>
        <v>0</v>
      </c>
      <c r="AY8" s="0" t="n">
        <f aca="false">0</f>
        <v>0</v>
      </c>
      <c r="AZ8" s="0" t="n">
        <f aca="false">0</f>
        <v>0</v>
      </c>
      <c r="BA8" s="0" t="n">
        <f aca="false">0</f>
        <v>0</v>
      </c>
      <c r="BB8" s="0" t="n">
        <f aca="false">0</f>
        <v>0</v>
      </c>
      <c r="BC8" s="0" t="n">
        <f aca="false">0</f>
        <v>0</v>
      </c>
      <c r="BD8" s="0" t="n">
        <f aca="false">0</f>
        <v>0</v>
      </c>
      <c r="BE8" s="0" t="n">
        <f aca="false">0</f>
        <v>0</v>
      </c>
      <c r="BF8" s="0" t="n">
        <f aca="false">0</f>
        <v>0</v>
      </c>
      <c r="BG8" s="0" t="n">
        <f aca="false">0</f>
        <v>0</v>
      </c>
      <c r="BH8" s="0" t="n">
        <f aca="false">0</f>
        <v>0</v>
      </c>
      <c r="BI8" s="0" t="n">
        <f aca="false">0</f>
        <v>0</v>
      </c>
      <c r="BJ8" s="0" t="n">
        <f aca="false">0</f>
        <v>0</v>
      </c>
      <c r="BK8" s="0" t="n">
        <f aca="false">0</f>
        <v>0</v>
      </c>
    </row>
    <row r="9" customFormat="false" ht="25" hidden="false" customHeight="true" outlineLevel="0" collapsed="false">
      <c r="A9" s="1"/>
      <c r="B9" s="1" t="s">
        <v>51</v>
      </c>
      <c r="C9" s="3" t="n">
        <f aca="false">SUM(C7:C8)</f>
        <v>4240000</v>
      </c>
      <c r="D9" s="3" t="n">
        <f aca="false">SUM(D7:D8)</f>
        <v>587500</v>
      </c>
      <c r="E9" s="3" t="n">
        <f aca="false">SUM(E7:E8)</f>
        <v>587500</v>
      </c>
      <c r="F9" s="3" t="n">
        <f aca="false">SUM(F7:F8)</f>
        <v>587500</v>
      </c>
      <c r="G9" s="3" t="n">
        <f aca="false">SUM(G7:G8)</f>
        <v>587500</v>
      </c>
      <c r="H9" s="3" t="n">
        <f aca="false">SUM(H7:H8)</f>
        <v>587500</v>
      </c>
      <c r="I9" s="3" t="n">
        <f aca="false">SUM(I7:I8)</f>
        <v>587500</v>
      </c>
      <c r="J9" s="3" t="n">
        <f aca="false">SUM(J7:J8)</f>
        <v>587500</v>
      </c>
      <c r="K9" s="3" t="n">
        <f aca="false">SUM(K7:K8)</f>
        <v>587500</v>
      </c>
      <c r="L9" s="0" t="n">
        <f aca="false">SUM(L7:L8)</f>
        <v>587500</v>
      </c>
      <c r="M9" s="0" t="n">
        <f aca="false">SUM(M7:M8)</f>
        <v>587500</v>
      </c>
      <c r="N9" s="0" t="n">
        <f aca="false">SUM(N7:N8)</f>
        <v>587500</v>
      </c>
      <c r="O9" s="0" t="n">
        <f aca="false">SUM(O7:O8)</f>
        <v>587500</v>
      </c>
      <c r="P9" s="0" t="n">
        <f aca="false">SUM(P7:P8)</f>
        <v>587500</v>
      </c>
      <c r="Q9" s="0" t="n">
        <f aca="false">SUM(Q7:Q8)</f>
        <v>587500</v>
      </c>
      <c r="R9" s="0" t="n">
        <f aca="false">SUM(R7:R8)</f>
        <v>587500</v>
      </c>
      <c r="S9" s="0" t="n">
        <f aca="false">SUM(S7:S8)</f>
        <v>587500</v>
      </c>
      <c r="T9" s="0" t="n">
        <f aca="false">SUM(T7:T8)</f>
        <v>587500</v>
      </c>
      <c r="U9" s="0" t="n">
        <f aca="false">SUM(U7:U8)</f>
        <v>587500</v>
      </c>
      <c r="V9" s="0" t="n">
        <f aca="false">SUM(V7:V8)</f>
        <v>587500</v>
      </c>
      <c r="W9" s="0" t="n">
        <f aca="false">SUM(W7:W8)</f>
        <v>587500</v>
      </c>
      <c r="X9" s="0" t="n">
        <f aca="false">SUM(X7:X8)</f>
        <v>587500</v>
      </c>
      <c r="Y9" s="0" t="n">
        <f aca="false">SUM(Y7:Y8)</f>
        <v>587500</v>
      </c>
      <c r="Z9" s="0" t="n">
        <f aca="false">SUM(Z7:Z8)</f>
        <v>587500</v>
      </c>
      <c r="AA9" s="0" t="n">
        <f aca="false">SUM(AA7:AA8)</f>
        <v>587500</v>
      </c>
      <c r="AB9" s="0" t="n">
        <f aca="false">SUM(AB7:AB8)</f>
        <v>0</v>
      </c>
      <c r="AC9" s="0" t="n">
        <f aca="false">SUM(AC7:AC8)</f>
        <v>0</v>
      </c>
      <c r="AD9" s="0" t="n">
        <f aca="false">SUM(AD7:AD8)</f>
        <v>0</v>
      </c>
      <c r="AE9" s="0" t="n">
        <f aca="false">SUM(AE7:AE8)</f>
        <v>0</v>
      </c>
      <c r="AF9" s="0" t="n">
        <f aca="false">SUM(AF7:AF8)</f>
        <v>0</v>
      </c>
      <c r="AG9" s="0" t="n">
        <f aca="false">SUM(AG7:AG8)</f>
        <v>0</v>
      </c>
      <c r="AH9" s="0" t="n">
        <f aca="false">SUM(AH7:AH8)</f>
        <v>0</v>
      </c>
      <c r="AI9" s="0" t="n">
        <f aca="false">SUM(AI7:AI8)</f>
        <v>0</v>
      </c>
      <c r="AJ9" s="0" t="n">
        <f aca="false">SUM(AJ7:AJ8)</f>
        <v>0</v>
      </c>
      <c r="AK9" s="0" t="n">
        <f aca="false">SUM(AK7:AK8)</f>
        <v>0</v>
      </c>
      <c r="AL9" s="0" t="n">
        <f aca="false">SUM(AL7:AL8)</f>
        <v>0</v>
      </c>
      <c r="AM9" s="0" t="n">
        <f aca="false">SUM(AM7:AM8)</f>
        <v>0</v>
      </c>
      <c r="AN9" s="0" t="n">
        <f aca="false">SUM(AN7:AN8)</f>
        <v>0</v>
      </c>
      <c r="AO9" s="0" t="n">
        <f aca="false">SUM(AO7:AO8)</f>
        <v>0</v>
      </c>
      <c r="AP9" s="0" t="n">
        <f aca="false">SUM(AP7:AP8)</f>
        <v>0</v>
      </c>
      <c r="AQ9" s="0" t="n">
        <f aca="false">SUM(AQ7:AQ8)</f>
        <v>0</v>
      </c>
      <c r="AR9" s="0" t="n">
        <f aca="false">SUM(AR7:AR8)</f>
        <v>0</v>
      </c>
      <c r="AS9" s="0" t="n">
        <f aca="false">SUM(AS7:AS8)</f>
        <v>0</v>
      </c>
      <c r="AT9" s="0" t="n">
        <f aca="false">SUM(AT7:AT8)</f>
        <v>0</v>
      </c>
      <c r="AU9" s="0" t="n">
        <f aca="false">SUM(AU7:AU8)</f>
        <v>0</v>
      </c>
      <c r="AV9" s="0" t="n">
        <f aca="false">SUM(AV7:AV8)</f>
        <v>0</v>
      </c>
      <c r="AW9" s="0" t="n">
        <f aca="false">SUM(AW7:AW8)</f>
        <v>0</v>
      </c>
      <c r="AX9" s="0" t="n">
        <f aca="false">SUM(AX7:AX8)</f>
        <v>0</v>
      </c>
      <c r="AY9" s="0" t="n">
        <f aca="false">SUM(AY7:AY8)</f>
        <v>0</v>
      </c>
      <c r="AZ9" s="0" t="n">
        <f aca="false">SUM(AZ7:AZ8)</f>
        <v>0</v>
      </c>
      <c r="BA9" s="0" t="n">
        <f aca="false">SUM(BA7:BA8)</f>
        <v>0</v>
      </c>
      <c r="BB9" s="0" t="n">
        <f aca="false">SUM(BB7:BB8)</f>
        <v>0</v>
      </c>
      <c r="BC9" s="0" t="n">
        <f aca="false">SUM(BC7:BC8)</f>
        <v>0</v>
      </c>
      <c r="BD9" s="0" t="n">
        <f aca="false">SUM(BD7:BD8)</f>
        <v>0</v>
      </c>
      <c r="BE9" s="0" t="n">
        <f aca="false">SUM(BE7:BE8)</f>
        <v>0</v>
      </c>
      <c r="BF9" s="0" t="n">
        <f aca="false">SUM(BF7:BF8)</f>
        <v>0</v>
      </c>
      <c r="BG9" s="0" t="n">
        <f aca="false">SUM(BG7:BG8)</f>
        <v>0</v>
      </c>
      <c r="BH9" s="0" t="n">
        <f aca="false">SUM(BH7:BH8)</f>
        <v>0</v>
      </c>
      <c r="BI9" s="0" t="n">
        <f aca="false">SUM(BI7:BI8)</f>
        <v>0</v>
      </c>
      <c r="BJ9" s="0" t="n">
        <f aca="false">SUM(BJ7:BJ8)</f>
        <v>0</v>
      </c>
      <c r="BK9" s="0" t="n">
        <f aca="false">SUM(BK7:BK8)</f>
        <v>0</v>
      </c>
    </row>
    <row r="10" customFormat="false" ht="25" hidden="false" customHeight="true" outlineLevel="0" collapsed="false">
      <c r="A10" s="1"/>
      <c r="B10" s="1" t="s">
        <v>52</v>
      </c>
      <c r="C10" s="3" t="n">
        <f aca="false">C9*Assumptions!$E$22</f>
        <v>2756000</v>
      </c>
      <c r="D10" s="3" t="n">
        <f aca="false">D9*Assumptions!$E$22</f>
        <v>381875</v>
      </c>
      <c r="E10" s="3" t="n">
        <f aca="false">E9*Assumptions!$E$22</f>
        <v>381875</v>
      </c>
      <c r="F10" s="3" t="n">
        <f aca="false">F9*Assumptions!$E$22</f>
        <v>381875</v>
      </c>
      <c r="G10" s="3" t="n">
        <f aca="false">G9*Assumptions!$E$22</f>
        <v>381875</v>
      </c>
      <c r="H10" s="3" t="n">
        <f aca="false">H9*Assumptions!$E$22</f>
        <v>381875</v>
      </c>
      <c r="I10" s="3" t="n">
        <f aca="false">I9*Assumptions!$E$22</f>
        <v>381875</v>
      </c>
      <c r="J10" s="3" t="n">
        <f aca="false">J9*Assumptions!$E$22</f>
        <v>381875</v>
      </c>
      <c r="K10" s="3" t="n">
        <f aca="false">K9*Assumptions!$E$22</f>
        <v>381875</v>
      </c>
      <c r="L10" s="0" t="n">
        <f aca="false">L9*Assumptions!$E$22</f>
        <v>381875</v>
      </c>
      <c r="M10" s="0" t="n">
        <f aca="false">M9*Assumptions!$E$22</f>
        <v>381875</v>
      </c>
      <c r="N10" s="0" t="n">
        <f aca="false">N9*Assumptions!$E$22</f>
        <v>381875</v>
      </c>
      <c r="O10" s="0" t="n">
        <f aca="false">O9*Assumptions!$E$22</f>
        <v>381875</v>
      </c>
      <c r="P10" s="0" t="n">
        <f aca="false">P9*Assumptions!$E$22</f>
        <v>381875</v>
      </c>
      <c r="Q10" s="0" t="n">
        <f aca="false">Q9*Assumptions!$E$22</f>
        <v>381875</v>
      </c>
      <c r="R10" s="0" t="n">
        <f aca="false">R9*Assumptions!$E$22</f>
        <v>381875</v>
      </c>
      <c r="S10" s="0" t="n">
        <f aca="false">S9*Assumptions!$E$22</f>
        <v>381875</v>
      </c>
      <c r="T10" s="0" t="n">
        <f aca="false">T9*Assumptions!$E$22</f>
        <v>381875</v>
      </c>
      <c r="U10" s="0" t="n">
        <f aca="false">U9*Assumptions!$E$22</f>
        <v>381875</v>
      </c>
      <c r="V10" s="0" t="n">
        <f aca="false">V9*Assumptions!$E$22</f>
        <v>381875</v>
      </c>
      <c r="W10" s="0" t="n">
        <f aca="false">W9*Assumptions!$E$22</f>
        <v>381875</v>
      </c>
      <c r="X10" s="0" t="n">
        <f aca="false">X9*Assumptions!$E$22</f>
        <v>381875</v>
      </c>
      <c r="Y10" s="0" t="n">
        <f aca="false">Y9*Assumptions!$E$22</f>
        <v>381875</v>
      </c>
      <c r="Z10" s="0" t="n">
        <f aca="false">Z9*Assumptions!$E$22</f>
        <v>381875</v>
      </c>
      <c r="AA10" s="0" t="n">
        <f aca="false">AA9*Assumptions!$E$22</f>
        <v>381875</v>
      </c>
      <c r="AB10" s="0" t="n">
        <f aca="false">AB9*Assumptions!$E$22</f>
        <v>0</v>
      </c>
      <c r="AC10" s="0" t="n">
        <f aca="false">AC9*Assumptions!$E$22</f>
        <v>0</v>
      </c>
      <c r="AD10" s="0" t="n">
        <f aca="false">AD9*Assumptions!$E$22</f>
        <v>0</v>
      </c>
      <c r="AE10" s="0" t="n">
        <f aca="false">AE9*Assumptions!$E$22</f>
        <v>0</v>
      </c>
      <c r="AF10" s="0" t="n">
        <f aca="false">AF9*Assumptions!$E$22</f>
        <v>0</v>
      </c>
      <c r="AG10" s="0" t="n">
        <f aca="false">AG9*Assumptions!$E$22</f>
        <v>0</v>
      </c>
      <c r="AH10" s="0" t="n">
        <f aca="false">AH9*Assumptions!$E$22</f>
        <v>0</v>
      </c>
      <c r="AI10" s="0" t="n">
        <f aca="false">AI9*Assumptions!$E$22</f>
        <v>0</v>
      </c>
      <c r="AJ10" s="0" t="n">
        <f aca="false">AJ9*Assumptions!$E$22</f>
        <v>0</v>
      </c>
      <c r="AK10" s="0" t="n">
        <f aca="false">AK9*Assumptions!$E$22</f>
        <v>0</v>
      </c>
      <c r="AL10" s="0" t="n">
        <f aca="false">AL9*Assumptions!$E$22</f>
        <v>0</v>
      </c>
      <c r="AM10" s="0" t="n">
        <f aca="false">AM9*Assumptions!$E$22</f>
        <v>0</v>
      </c>
      <c r="AN10" s="0" t="n">
        <f aca="false">AN9*Assumptions!$E$22</f>
        <v>0</v>
      </c>
      <c r="AO10" s="0" t="n">
        <f aca="false">AO9*Assumptions!$E$22</f>
        <v>0</v>
      </c>
      <c r="AP10" s="0" t="n">
        <f aca="false">AP9*Assumptions!$E$22</f>
        <v>0</v>
      </c>
      <c r="AQ10" s="0" t="n">
        <f aca="false">AQ9*Assumptions!$E$22</f>
        <v>0</v>
      </c>
      <c r="AR10" s="0" t="n">
        <f aca="false">AR9*Assumptions!$E$22</f>
        <v>0</v>
      </c>
      <c r="AS10" s="0" t="n">
        <f aca="false">AS9*Assumptions!$E$22</f>
        <v>0</v>
      </c>
      <c r="AT10" s="0" t="n">
        <f aca="false">AT9*Assumptions!$E$22</f>
        <v>0</v>
      </c>
      <c r="AU10" s="0" t="n">
        <f aca="false">AU9*Assumptions!$E$22</f>
        <v>0</v>
      </c>
      <c r="AV10" s="0" t="n">
        <f aca="false">AV9*Assumptions!$E$22</f>
        <v>0</v>
      </c>
      <c r="AW10" s="0" t="n">
        <f aca="false">AW9*Assumptions!$E$22</f>
        <v>0</v>
      </c>
      <c r="AX10" s="0" t="n">
        <f aca="false">AX9*Assumptions!$E$22</f>
        <v>0</v>
      </c>
      <c r="AY10" s="0" t="n">
        <f aca="false">AY9*Assumptions!$E$22</f>
        <v>0</v>
      </c>
      <c r="AZ10" s="0" t="n">
        <f aca="false">AZ9*Assumptions!$E$22</f>
        <v>0</v>
      </c>
      <c r="BA10" s="0" t="n">
        <f aca="false">BA9*Assumptions!$E$22</f>
        <v>0</v>
      </c>
      <c r="BB10" s="0" t="n">
        <f aca="false">BB9*Assumptions!$E$22</f>
        <v>0</v>
      </c>
      <c r="BC10" s="0" t="n">
        <f aca="false">BC9*Assumptions!$E$22</f>
        <v>0</v>
      </c>
      <c r="BD10" s="0" t="n">
        <f aca="false">BD9*Assumptions!$E$22</f>
        <v>0</v>
      </c>
      <c r="BE10" s="0" t="n">
        <f aca="false">BE9*Assumptions!$E$22</f>
        <v>0</v>
      </c>
      <c r="BF10" s="0" t="n">
        <f aca="false">BF9*Assumptions!$E$22</f>
        <v>0</v>
      </c>
      <c r="BG10" s="0" t="n">
        <f aca="false">BG9*Assumptions!$E$22</f>
        <v>0</v>
      </c>
      <c r="BH10" s="0" t="n">
        <f aca="false">BH9*Assumptions!$E$22</f>
        <v>0</v>
      </c>
      <c r="BI10" s="0" t="n">
        <f aca="false">BI9*Assumptions!$E$22</f>
        <v>0</v>
      </c>
      <c r="BJ10" s="0" t="n">
        <f aca="false">BJ9*Assumptions!$E$22</f>
        <v>0</v>
      </c>
      <c r="BK10" s="0" t="n">
        <f aca="false">BK9*Assumptions!$E$22</f>
        <v>0</v>
      </c>
    </row>
    <row r="11" customFormat="false" ht="25" hidden="false" customHeight="true" outlineLevel="0" collapsed="false">
      <c r="A11" s="1"/>
      <c r="B11" s="1" t="s">
        <v>53</v>
      </c>
      <c r="C11" s="16" t="n">
        <f aca="false">0</f>
        <v>0</v>
      </c>
      <c r="D11" s="16" t="n">
        <f aca="false">IF(D$6&lt;=Assumptions!$E$14,Assumptions!$E$32,MIN(1,(D$6-Assumptions!$E$14)/Assumptions!$E$15))</f>
        <v>0</v>
      </c>
      <c r="E11" s="16" t="n">
        <f aca="false">IF(E$6&lt;=Assumptions!$E$14,Assumptions!$E$32,MIN(1,(E$6-Assumptions!$E$14)/Assumptions!$E$15))</f>
        <v>0</v>
      </c>
      <c r="F11" s="16" t="n">
        <f aca="false">IF(F$6&lt;=Assumptions!$E$14,Assumptions!$E$32,MIN(1,(F$6-Assumptions!$E$14)/Assumptions!$E$15))</f>
        <v>0</v>
      </c>
      <c r="G11" s="16" t="n">
        <f aca="false">IF(G$6&lt;=Assumptions!$E$14,Assumptions!$E$32,MIN(1,(G$6-Assumptions!$E$14)/Assumptions!$E$15))</f>
        <v>0</v>
      </c>
      <c r="H11" s="16" t="n">
        <f aca="false">IF(H$6&lt;=Assumptions!$E$14,Assumptions!$E$32,MIN(1,(H$6-Assumptions!$E$14)/Assumptions!$E$15))</f>
        <v>0</v>
      </c>
      <c r="I11" s="16" t="n">
        <f aca="false">IF(I$6&lt;=Assumptions!$E$14,Assumptions!$E$32,MIN(1,(I$6-Assumptions!$E$14)/Assumptions!$E$15))</f>
        <v>0</v>
      </c>
      <c r="J11" s="16" t="n">
        <f aca="false">IF(J$6&lt;=Assumptions!$E$14,Assumptions!$E$32,MIN(1,(J$6-Assumptions!$E$14)/Assumptions!$E$15))</f>
        <v>0</v>
      </c>
      <c r="K11" s="16" t="n">
        <f aca="false">IF(K$6&lt;=Assumptions!$E$14,Assumptions!$E$32,MIN(1,(K$6-Assumptions!$E$14)/Assumptions!$E$15))</f>
        <v>0</v>
      </c>
      <c r="L11" s="21" t="n">
        <f aca="false">IF(L$6&lt;=Assumptions!$E$14,Assumptions!$E$32,MIN(1,(L$6-Assumptions!$E$14)/Assumptions!$E$15))</f>
        <v>0</v>
      </c>
      <c r="M11" s="21" t="n">
        <f aca="false">IF(M$6&lt;=Assumptions!$E$14,Assumptions!$E$32,MIN(1,(M$6-Assumptions!$E$14)/Assumptions!$E$15))</f>
        <v>0</v>
      </c>
      <c r="N11" s="21" t="n">
        <f aca="false">IF(N$6&lt;=Assumptions!$E$14,Assumptions!$E$32,MIN(1,(N$6-Assumptions!$E$14)/Assumptions!$E$15))</f>
        <v>0</v>
      </c>
      <c r="O11" s="21" t="n">
        <f aca="false">IF(O$6&lt;=Assumptions!$E$14,Assumptions!$E$32,MIN(1,(O$6-Assumptions!$E$14)/Assumptions!$E$15))</f>
        <v>0</v>
      </c>
      <c r="P11" s="21" t="n">
        <f aca="false">IF(P$6&lt;=Assumptions!$E$14,Assumptions!$E$32,MIN(1,(P$6-Assumptions!$E$14)/Assumptions!$E$15))</f>
        <v>0</v>
      </c>
      <c r="Q11" s="21" t="n">
        <f aca="false">IF(Q$6&lt;=Assumptions!$E$14,Assumptions!$E$32,MIN(1,(Q$6-Assumptions!$E$14)/Assumptions!$E$15))</f>
        <v>0</v>
      </c>
      <c r="R11" s="21" t="n">
        <f aca="false">IF(R$6&lt;=Assumptions!$E$14,Assumptions!$E$32,MIN(1,(R$6-Assumptions!$E$14)/Assumptions!$E$15))</f>
        <v>0</v>
      </c>
      <c r="S11" s="21" t="n">
        <f aca="false">IF(S$6&lt;=Assumptions!$E$14,Assumptions!$E$32,MIN(1,(S$6-Assumptions!$E$14)/Assumptions!$E$15))</f>
        <v>0</v>
      </c>
      <c r="T11" s="21" t="n">
        <f aca="false">IF(T$6&lt;=Assumptions!$E$14,Assumptions!$E$32,MIN(1,(T$6-Assumptions!$E$14)/Assumptions!$E$15))</f>
        <v>0</v>
      </c>
      <c r="U11" s="21" t="n">
        <f aca="false">IF(U$6&lt;=Assumptions!$E$14,Assumptions!$E$32,MIN(1,(U$6-Assumptions!$E$14)/Assumptions!$E$15))</f>
        <v>0</v>
      </c>
      <c r="V11" s="21" t="n">
        <f aca="false">IF(V$6&lt;=Assumptions!$E$14,Assumptions!$E$32,MIN(1,(V$6-Assumptions!$E$14)/Assumptions!$E$15))</f>
        <v>0</v>
      </c>
      <c r="W11" s="21" t="n">
        <f aca="false">IF(W$6&lt;=Assumptions!$E$14,Assumptions!$E$32,MIN(1,(W$6-Assumptions!$E$14)/Assumptions!$E$15))</f>
        <v>0</v>
      </c>
      <c r="X11" s="21" t="n">
        <f aca="false">IF(X$6&lt;=Assumptions!$E$14,Assumptions!$E$32,MIN(1,(X$6-Assumptions!$E$14)/Assumptions!$E$15))</f>
        <v>0</v>
      </c>
      <c r="Y11" s="21" t="n">
        <f aca="false">IF(Y$6&lt;=Assumptions!$E$14,Assumptions!$E$32,MIN(1,(Y$6-Assumptions!$E$14)/Assumptions!$E$15))</f>
        <v>0</v>
      </c>
      <c r="Z11" s="21" t="n">
        <f aca="false">IF(Z$6&lt;=Assumptions!$E$14,Assumptions!$E$32,MIN(1,(Z$6-Assumptions!$E$14)/Assumptions!$E$15))</f>
        <v>0</v>
      </c>
      <c r="AA11" s="21" t="n">
        <f aca="false">IF(AA$6&lt;=Assumptions!$E$14,Assumptions!$E$32,MIN(1,(AA$6-Assumptions!$E$14)/Assumptions!$E$15))</f>
        <v>0</v>
      </c>
      <c r="AB11" s="21" t="n">
        <f aca="false">IF(AB$6&lt;=Assumptions!$E$14,Assumptions!$E$32,MIN(1,(AB$6-Assumptions!$E$14)/Assumptions!$E$15))</f>
        <v>0.0833333333333333</v>
      </c>
      <c r="AC11" s="21" t="n">
        <f aca="false">IF(AC$6&lt;=Assumptions!$E$14,Assumptions!$E$32,MIN(1,(AC$6-Assumptions!$E$14)/Assumptions!$E$15))</f>
        <v>0.166666666666667</v>
      </c>
      <c r="AD11" s="21" t="n">
        <f aca="false">IF(AD$6&lt;=Assumptions!$E$14,Assumptions!$E$32,MIN(1,(AD$6-Assumptions!$E$14)/Assumptions!$E$15))</f>
        <v>0.25</v>
      </c>
      <c r="AE11" s="21" t="n">
        <f aca="false">IF(AE$6&lt;=Assumptions!$E$14,Assumptions!$E$32,MIN(1,(AE$6-Assumptions!$E$14)/Assumptions!$E$15))</f>
        <v>0.333333333333333</v>
      </c>
      <c r="AF11" s="21" t="n">
        <f aca="false">IF(AF$6&lt;=Assumptions!$E$14,Assumptions!$E$32,MIN(1,(AF$6-Assumptions!$E$14)/Assumptions!$E$15))</f>
        <v>0.416666666666667</v>
      </c>
      <c r="AG11" s="21" t="n">
        <f aca="false">IF(AG$6&lt;=Assumptions!$E$14,Assumptions!$E$32,MIN(1,(AG$6-Assumptions!$E$14)/Assumptions!$E$15))</f>
        <v>0.5</v>
      </c>
      <c r="AH11" s="21" t="n">
        <f aca="false">IF(AH$6&lt;=Assumptions!$E$14,Assumptions!$E$32,MIN(1,(AH$6-Assumptions!$E$14)/Assumptions!$E$15))</f>
        <v>0.583333333333333</v>
      </c>
      <c r="AI11" s="21" t="n">
        <f aca="false">IF(AI$6&lt;=Assumptions!$E$14,Assumptions!$E$32,MIN(1,(AI$6-Assumptions!$E$14)/Assumptions!$E$15))</f>
        <v>0.666666666666667</v>
      </c>
      <c r="AJ11" s="21" t="n">
        <f aca="false">IF(AJ$6&lt;=Assumptions!$E$14,Assumptions!$E$32,MIN(1,(AJ$6-Assumptions!$E$14)/Assumptions!$E$15))</f>
        <v>0.75</v>
      </c>
      <c r="AK11" s="21" t="n">
        <f aca="false">IF(AK$6&lt;=Assumptions!$E$14,Assumptions!$E$32,MIN(1,(AK$6-Assumptions!$E$14)/Assumptions!$E$15))</f>
        <v>0.833333333333333</v>
      </c>
      <c r="AL11" s="21" t="n">
        <f aca="false">IF(AL$6&lt;=Assumptions!$E$14,Assumptions!$E$32,MIN(1,(AL$6-Assumptions!$E$14)/Assumptions!$E$15))</f>
        <v>0.916666666666667</v>
      </c>
      <c r="AM11" s="21" t="n">
        <f aca="false">IF(AM$6&lt;=Assumptions!$E$14,Assumptions!$E$32,MIN(1,(AM$6-Assumptions!$E$14)/Assumptions!$E$15))</f>
        <v>1</v>
      </c>
      <c r="AN11" s="21" t="n">
        <f aca="false">IF(AN$6&lt;=Assumptions!$E$14,Assumptions!$E$32,MIN(1,(AN$6-Assumptions!$E$14)/Assumptions!$E$15))</f>
        <v>1</v>
      </c>
      <c r="AO11" s="21" t="n">
        <f aca="false">IF(AO$6&lt;=Assumptions!$E$14,Assumptions!$E$32,MIN(1,(AO$6-Assumptions!$E$14)/Assumptions!$E$15))</f>
        <v>1</v>
      </c>
      <c r="AP11" s="21" t="n">
        <f aca="false">IF(AP$6&lt;=Assumptions!$E$14,Assumptions!$E$32,MIN(1,(AP$6-Assumptions!$E$14)/Assumptions!$E$15))</f>
        <v>1</v>
      </c>
      <c r="AQ11" s="21" t="n">
        <f aca="false">IF(AQ$6&lt;=Assumptions!$E$14,Assumptions!$E$32,MIN(1,(AQ$6-Assumptions!$E$14)/Assumptions!$E$15))</f>
        <v>1</v>
      </c>
      <c r="AR11" s="21" t="n">
        <f aca="false">IF(AR$6&lt;=Assumptions!$E$14,Assumptions!$E$32,MIN(1,(AR$6-Assumptions!$E$14)/Assumptions!$E$15))</f>
        <v>1</v>
      </c>
      <c r="AS11" s="21" t="n">
        <f aca="false">IF(AS$6&lt;=Assumptions!$E$14,Assumptions!$E$32,MIN(1,(AS$6-Assumptions!$E$14)/Assumptions!$E$15))</f>
        <v>1</v>
      </c>
      <c r="AT11" s="21" t="n">
        <f aca="false">IF(AT$6&lt;=Assumptions!$E$14,Assumptions!$E$32,MIN(1,(AT$6-Assumptions!$E$14)/Assumptions!$E$15))</f>
        <v>1</v>
      </c>
      <c r="AU11" s="21" t="n">
        <f aca="false">IF(AU$6&lt;=Assumptions!$E$14,Assumptions!$E$32,MIN(1,(AU$6-Assumptions!$E$14)/Assumptions!$E$15))</f>
        <v>1</v>
      </c>
      <c r="AV11" s="21" t="n">
        <f aca="false">IF(AV$6&lt;=Assumptions!$E$14,Assumptions!$E$32,MIN(1,(AV$6-Assumptions!$E$14)/Assumptions!$E$15))</f>
        <v>1</v>
      </c>
      <c r="AW11" s="21" t="n">
        <f aca="false">IF(AW$6&lt;=Assumptions!$E$14,Assumptions!$E$32,MIN(1,(AW$6-Assumptions!$E$14)/Assumptions!$E$15))</f>
        <v>1</v>
      </c>
      <c r="AX11" s="21" t="n">
        <f aca="false">IF(AX$6&lt;=Assumptions!$E$14,Assumptions!$E$32,MIN(1,(AX$6-Assumptions!$E$14)/Assumptions!$E$15))</f>
        <v>1</v>
      </c>
      <c r="AY11" s="21" t="n">
        <f aca="false">IF(AY$6&lt;=Assumptions!$E$14,Assumptions!$E$32,MIN(1,(AY$6-Assumptions!$E$14)/Assumptions!$E$15))</f>
        <v>1</v>
      </c>
      <c r="AZ11" s="21" t="n">
        <f aca="false">IF(AZ$6&lt;=Assumptions!$E$14,Assumptions!$E$32,MIN(1,(AZ$6-Assumptions!$E$14)/Assumptions!$E$15))</f>
        <v>1</v>
      </c>
      <c r="BA11" s="21" t="n">
        <f aca="false">IF(BA$6&lt;=Assumptions!$E$14,Assumptions!$E$32,MIN(1,(BA$6-Assumptions!$E$14)/Assumptions!$E$15))</f>
        <v>1</v>
      </c>
      <c r="BB11" s="21" t="n">
        <f aca="false">IF(BB$6&lt;=Assumptions!$E$14,Assumptions!$E$32,MIN(1,(BB$6-Assumptions!$E$14)/Assumptions!$E$15))</f>
        <v>1</v>
      </c>
      <c r="BC11" s="21" t="n">
        <f aca="false">IF(BC$6&lt;=Assumptions!$E$14,Assumptions!$E$32,MIN(1,(BC$6-Assumptions!$E$14)/Assumptions!$E$15))</f>
        <v>1</v>
      </c>
      <c r="BD11" s="21" t="n">
        <f aca="false">IF(BD$6&lt;=Assumptions!$E$14,Assumptions!$E$32,MIN(1,(BD$6-Assumptions!$E$14)/Assumptions!$E$15))</f>
        <v>1</v>
      </c>
      <c r="BE11" s="21" t="n">
        <f aca="false">IF(BE$6&lt;=Assumptions!$E$14,Assumptions!$E$32,MIN(1,(BE$6-Assumptions!$E$14)/Assumptions!$E$15))</f>
        <v>1</v>
      </c>
      <c r="BF11" s="21" t="n">
        <f aca="false">IF(BF$6&lt;=Assumptions!$E$14,Assumptions!$E$32,MIN(1,(BF$6-Assumptions!$E$14)/Assumptions!$E$15))</f>
        <v>1</v>
      </c>
      <c r="BG11" s="21" t="n">
        <f aca="false">IF(BG$6&lt;=Assumptions!$E$14,Assumptions!$E$32,MIN(1,(BG$6-Assumptions!$E$14)/Assumptions!$E$15))</f>
        <v>1</v>
      </c>
      <c r="BH11" s="21" t="n">
        <f aca="false">IF(BH$6&lt;=Assumptions!$E$14,Assumptions!$E$32,MIN(1,(BH$6-Assumptions!$E$14)/Assumptions!$E$15))</f>
        <v>1</v>
      </c>
      <c r="BI11" s="21" t="n">
        <f aca="false">IF(BI$6&lt;=Assumptions!$E$14,Assumptions!$E$32,MIN(1,(BI$6-Assumptions!$E$14)/Assumptions!$E$15))</f>
        <v>1</v>
      </c>
      <c r="BJ11" s="21" t="n">
        <f aca="false">IF(BJ$6&lt;=Assumptions!$E$14,Assumptions!$E$32,MIN(1,(BJ$6-Assumptions!$E$14)/Assumptions!$E$15))</f>
        <v>1</v>
      </c>
      <c r="BK11" s="21" t="n">
        <f aca="false">IF(BK$6&lt;=Assumptions!$E$14,Assumptions!$E$32,MIN(1,(BK$6-Assumptions!$E$14)/Assumptions!$E$15))</f>
        <v>1</v>
      </c>
    </row>
    <row r="12" customFormat="false" ht="25" hidden="false" customHeight="true" outlineLevel="0" collapsed="false">
      <c r="A12" s="1"/>
      <c r="B12" s="1" t="s">
        <v>54</v>
      </c>
      <c r="C12" s="3" t="n">
        <f aca="false">0</f>
        <v>0</v>
      </c>
      <c r="D12" s="3" t="n">
        <f aca="false">0</f>
        <v>0</v>
      </c>
      <c r="E12" s="3" t="n">
        <f aca="false">0</f>
        <v>0</v>
      </c>
      <c r="F12" s="3" t="n">
        <f aca="false">0</f>
        <v>0</v>
      </c>
      <c r="G12" s="3" t="n">
        <f aca="false">0</f>
        <v>0</v>
      </c>
      <c r="H12" s="3" t="n">
        <f aca="false">0</f>
        <v>0</v>
      </c>
      <c r="I12" s="3" t="n">
        <f aca="false">0</f>
        <v>0</v>
      </c>
      <c r="J12" s="3" t="n">
        <f aca="false">0</f>
        <v>0</v>
      </c>
      <c r="K12" s="3" t="n">
        <f aca="false">0</f>
        <v>0</v>
      </c>
      <c r="L12" s="0" t="n">
        <f aca="false">0</f>
        <v>0</v>
      </c>
      <c r="M12" s="0" t="n">
        <f aca="false">0</f>
        <v>0</v>
      </c>
      <c r="N12" s="0" t="n">
        <f aca="false">0</f>
        <v>0</v>
      </c>
      <c r="O12" s="0" t="n">
        <f aca="false">0</f>
        <v>0</v>
      </c>
      <c r="P12" s="0" t="n">
        <f aca="false">0</f>
        <v>0</v>
      </c>
      <c r="Q12" s="0" t="n">
        <f aca="false">0</f>
        <v>0</v>
      </c>
      <c r="R12" s="0" t="n">
        <f aca="false">0</f>
        <v>0</v>
      </c>
      <c r="S12" s="0" t="n">
        <f aca="false">0</f>
        <v>0</v>
      </c>
      <c r="T12" s="0" t="n">
        <f aca="false">0</f>
        <v>0</v>
      </c>
      <c r="U12" s="0" t="n">
        <f aca="false">0</f>
        <v>0</v>
      </c>
      <c r="V12" s="0" t="n">
        <f aca="false">0</f>
        <v>0</v>
      </c>
      <c r="W12" s="0" t="n">
        <f aca="false">0</f>
        <v>0</v>
      </c>
      <c r="X12" s="0" t="n">
        <f aca="false">0</f>
        <v>0</v>
      </c>
      <c r="Y12" s="0" t="n">
        <f aca="false">0</f>
        <v>0</v>
      </c>
      <c r="Z12" s="0" t="n">
        <f aca="false">0</f>
        <v>0</v>
      </c>
      <c r="AA12" s="0" t="n">
        <f aca="false">0</f>
        <v>0</v>
      </c>
      <c r="AB12" s="0" t="n">
        <f aca="false">0</f>
        <v>0</v>
      </c>
      <c r="AC12" s="0" t="n">
        <f aca="false">0</f>
        <v>0</v>
      </c>
      <c r="AD12" s="0" t="n">
        <f aca="false">0</f>
        <v>0</v>
      </c>
      <c r="AE12" s="0" t="n">
        <f aca="false">0</f>
        <v>0</v>
      </c>
      <c r="AF12" s="0" t="n">
        <f aca="false">0</f>
        <v>0</v>
      </c>
      <c r="AG12" s="0" t="n">
        <f aca="false">0</f>
        <v>0</v>
      </c>
      <c r="AH12" s="0" t="n">
        <f aca="false">0</f>
        <v>0</v>
      </c>
      <c r="AI12" s="0" t="n">
        <f aca="false">0</f>
        <v>0</v>
      </c>
      <c r="AJ12" s="0" t="n">
        <f aca="false">0</f>
        <v>0</v>
      </c>
      <c r="AK12" s="0" t="n">
        <f aca="false">0</f>
        <v>0</v>
      </c>
      <c r="AL12" s="0" t="n">
        <f aca="false">0</f>
        <v>0</v>
      </c>
      <c r="AM12" s="0" t="n">
        <f aca="false">0</f>
        <v>0</v>
      </c>
      <c r="AN12" s="0" t="n">
        <f aca="false">0</f>
        <v>0</v>
      </c>
      <c r="AO12" s="0" t="n">
        <f aca="false">0</f>
        <v>0</v>
      </c>
      <c r="AP12" s="0" t="n">
        <f aca="false">0</f>
        <v>0</v>
      </c>
      <c r="AQ12" s="0" t="n">
        <f aca="false">0</f>
        <v>0</v>
      </c>
      <c r="AR12" s="0" t="n">
        <f aca="false">0</f>
        <v>0</v>
      </c>
      <c r="AS12" s="0" t="n">
        <f aca="false">0</f>
        <v>0</v>
      </c>
      <c r="AT12" s="0" t="n">
        <f aca="false">0</f>
        <v>0</v>
      </c>
      <c r="AU12" s="0" t="n">
        <f aca="false">0</f>
        <v>0</v>
      </c>
      <c r="AV12" s="0" t="n">
        <f aca="false">0</f>
        <v>0</v>
      </c>
      <c r="AW12" s="0" t="n">
        <f aca="false">0</f>
        <v>0</v>
      </c>
      <c r="AX12" s="0" t="n">
        <f aca="false">0</f>
        <v>0</v>
      </c>
      <c r="AY12" s="0" t="n">
        <f aca="false">0</f>
        <v>0</v>
      </c>
      <c r="AZ12" s="0" t="n">
        <f aca="false">0</f>
        <v>0</v>
      </c>
      <c r="BA12" s="0" t="n">
        <f aca="false">0</f>
        <v>0</v>
      </c>
      <c r="BB12" s="0" t="n">
        <f aca="false">0</f>
        <v>0</v>
      </c>
      <c r="BC12" s="0" t="n">
        <f aca="false">0</f>
        <v>0</v>
      </c>
      <c r="BD12" s="0" t="n">
        <f aca="false">0</f>
        <v>0</v>
      </c>
      <c r="BE12" s="0" t="n">
        <f aca="false">0</f>
        <v>0</v>
      </c>
      <c r="BF12" s="0" t="n">
        <f aca="false">0</f>
        <v>0</v>
      </c>
      <c r="BG12" s="0" t="n">
        <f aca="false">0</f>
        <v>0</v>
      </c>
      <c r="BH12" s="0" t="n">
        <f aca="false">0</f>
        <v>0</v>
      </c>
      <c r="BI12" s="0" t="n">
        <f aca="false">0</f>
        <v>0</v>
      </c>
      <c r="BJ12" s="0" t="n">
        <f aca="false">0</f>
        <v>0</v>
      </c>
      <c r="BK12" s="0" t="n">
        <f aca="false">0</f>
        <v>0</v>
      </c>
    </row>
    <row r="13" customFormat="false" ht="25" hidden="false" customHeight="true" outlineLevel="0" collapsed="false">
      <c r="A13" s="1"/>
      <c r="B13" s="1" t="s">
        <v>55</v>
      </c>
      <c r="C13" s="3" t="n">
        <f aca="false">0</f>
        <v>0</v>
      </c>
      <c r="D13" s="3" t="n">
        <f aca="false">Assumptions!$E$10*Assumptions!$E$16*Assumptions!$E$31/12*Assumptions!$E$17*D11*(1+Assumptions!$E$18)^((D$6-1)/12)</f>
        <v>0</v>
      </c>
      <c r="E13" s="3" t="n">
        <f aca="false">Assumptions!$E$10*Assumptions!$E$16*Assumptions!$E$31/12*Assumptions!$E$17*E11*(1+Assumptions!$E$18)^((E$6-1)/12)</f>
        <v>0</v>
      </c>
      <c r="F13" s="3" t="n">
        <f aca="false">Assumptions!$E$10*Assumptions!$E$16*Assumptions!$E$31/12*Assumptions!$E$17*F11*(1+Assumptions!$E$18)^((F$6-1)/12)</f>
        <v>0</v>
      </c>
      <c r="G13" s="3" t="n">
        <f aca="false">Assumptions!$E$10*Assumptions!$E$16*Assumptions!$E$31/12*Assumptions!$E$17*G11*(1+Assumptions!$E$18)^((G$6-1)/12)</f>
        <v>0</v>
      </c>
      <c r="H13" s="3" t="n">
        <f aca="false">Assumptions!$E$10*Assumptions!$E$16*Assumptions!$E$31/12*Assumptions!$E$17*H11*(1+Assumptions!$E$18)^((H$6-1)/12)</f>
        <v>0</v>
      </c>
      <c r="I13" s="3" t="n">
        <f aca="false">Assumptions!$E$10*Assumptions!$E$16*Assumptions!$E$31/12*Assumptions!$E$17*I11*(1+Assumptions!$E$18)^((I$6-1)/12)</f>
        <v>0</v>
      </c>
      <c r="J13" s="3" t="n">
        <f aca="false">Assumptions!$E$10*Assumptions!$E$16*Assumptions!$E$31/12*Assumptions!$E$17*J11*(1+Assumptions!$E$18)^((J$6-1)/12)</f>
        <v>0</v>
      </c>
      <c r="K13" s="3" t="n">
        <f aca="false">Assumptions!$E$10*Assumptions!$E$16*Assumptions!$E$31/12*Assumptions!$E$17*K11*(1+Assumptions!$E$18)^((K$6-1)/12)</f>
        <v>0</v>
      </c>
      <c r="L13" s="0" t="n">
        <f aca="false">Assumptions!$E$10*Assumptions!$E$16*Assumptions!$E$31/12*Assumptions!$E$17*L11*(1+Assumptions!$E$18)^((L$6-1)/12)</f>
        <v>0</v>
      </c>
      <c r="M13" s="0" t="n">
        <f aca="false">Assumptions!$E$10*Assumptions!$E$16*Assumptions!$E$31/12*Assumptions!$E$17*M11*(1+Assumptions!$E$18)^((M$6-1)/12)</f>
        <v>0</v>
      </c>
      <c r="N13" s="0" t="n">
        <f aca="false">Assumptions!$E$10*Assumptions!$E$16*Assumptions!$E$31/12*Assumptions!$E$17*N11*(1+Assumptions!$E$18)^((N$6-1)/12)</f>
        <v>0</v>
      </c>
      <c r="O13" s="0" t="n">
        <f aca="false">Assumptions!$E$10*Assumptions!$E$16*Assumptions!$E$31/12*Assumptions!$E$17*O11*(1+Assumptions!$E$18)^((O$6-1)/12)</f>
        <v>0</v>
      </c>
      <c r="P13" s="0" t="n">
        <f aca="false">Assumptions!$E$10*Assumptions!$E$16*Assumptions!$E$31/12*Assumptions!$E$17*P11*(1+Assumptions!$E$18)^((P$6-1)/12)</f>
        <v>0</v>
      </c>
      <c r="Q13" s="0" t="n">
        <f aca="false">Assumptions!$E$10*Assumptions!$E$16*Assumptions!$E$31/12*Assumptions!$E$17*Q11*(1+Assumptions!$E$18)^((Q$6-1)/12)</f>
        <v>0</v>
      </c>
      <c r="R13" s="0" t="n">
        <f aca="false">Assumptions!$E$10*Assumptions!$E$16*Assumptions!$E$31/12*Assumptions!$E$17*R11*(1+Assumptions!$E$18)^((R$6-1)/12)</f>
        <v>0</v>
      </c>
      <c r="S13" s="0" t="n">
        <f aca="false">Assumptions!$E$10*Assumptions!$E$16*Assumptions!$E$31/12*Assumptions!$E$17*S11*(1+Assumptions!$E$18)^((S$6-1)/12)</f>
        <v>0</v>
      </c>
      <c r="T13" s="0" t="n">
        <f aca="false">Assumptions!$E$10*Assumptions!$E$16*Assumptions!$E$31/12*Assumptions!$E$17*T11*(1+Assumptions!$E$18)^((T$6-1)/12)</f>
        <v>0</v>
      </c>
      <c r="U13" s="0" t="n">
        <f aca="false">Assumptions!$E$10*Assumptions!$E$16*Assumptions!$E$31/12*Assumptions!$E$17*U11*(1+Assumptions!$E$18)^((U$6-1)/12)</f>
        <v>0</v>
      </c>
      <c r="V13" s="0" t="n">
        <f aca="false">Assumptions!$E$10*Assumptions!$E$16*Assumptions!$E$31/12*Assumptions!$E$17*V11*(1+Assumptions!$E$18)^((V$6-1)/12)</f>
        <v>0</v>
      </c>
      <c r="W13" s="0" t="n">
        <f aca="false">Assumptions!$E$10*Assumptions!$E$16*Assumptions!$E$31/12*Assumptions!$E$17*W11*(1+Assumptions!$E$18)^((W$6-1)/12)</f>
        <v>0</v>
      </c>
      <c r="X13" s="0" t="n">
        <f aca="false">Assumptions!$E$10*Assumptions!$E$16*Assumptions!$E$31/12*Assumptions!$E$17*X11*(1+Assumptions!$E$18)^((X$6-1)/12)</f>
        <v>0</v>
      </c>
      <c r="Y13" s="0" t="n">
        <f aca="false">Assumptions!$E$10*Assumptions!$E$16*Assumptions!$E$31/12*Assumptions!$E$17*Y11*(1+Assumptions!$E$18)^((Y$6-1)/12)</f>
        <v>0</v>
      </c>
      <c r="Z13" s="0" t="n">
        <f aca="false">Assumptions!$E$10*Assumptions!$E$16*Assumptions!$E$31/12*Assumptions!$E$17*Z11*(1+Assumptions!$E$18)^((Z$6-1)/12)</f>
        <v>0</v>
      </c>
      <c r="AA13" s="0" t="n">
        <f aca="false">Assumptions!$E$10*Assumptions!$E$16*Assumptions!$E$31/12*Assumptions!$E$17*AA11*(1+Assumptions!$E$18)^((AA$6-1)/12)</f>
        <v>0</v>
      </c>
      <c r="AB13" s="0" t="n">
        <f aca="false">Assumptions!$E$10*Assumptions!$E$16*Assumptions!$E$31/12*Assumptions!$E$17*AB11*(1+Assumptions!$E$18)^((AB$6-1)/12)</f>
        <v>9980.9375</v>
      </c>
      <c r="AC13" s="0" t="n">
        <f aca="false">Assumptions!$E$10*Assumptions!$E$16*Assumptions!$E$31/12*Assumptions!$E$17*AC11*(1+Assumptions!$E$18)^((AC$6-1)/12)</f>
        <v>20002.9931941391</v>
      </c>
      <c r="AD13" s="0" t="n">
        <f aca="false">Assumptions!$E$10*Assumptions!$E$16*Assumptions!$E$31/12*Assumptions!$E$17*AD11*(1+Assumptions!$E$18)^((AD$6-1)/12)</f>
        <v>30066.2941275387</v>
      </c>
      <c r="AE13" s="0" t="n">
        <f aca="false">Assumptions!$E$10*Assumptions!$E$16*Assumptions!$E$31/12*Assumptions!$E$17*AE11*(1+Assumptions!$E$18)^((AE$6-1)/12)</f>
        <v>40170.9676942431</v>
      </c>
      <c r="AF13" s="0" t="n">
        <f aca="false">Assumptions!$E$10*Assumptions!$E$16*Assumptions!$E$31/12*Assumptions!$E$17*AF11*(1+Assumptions!$E$18)^((AF$6-1)/12)</f>
        <v>50317.141638118</v>
      </c>
      <c r="AG13" s="0" t="n">
        <f aca="false">Assumptions!$E$10*Assumptions!$E$16*Assumptions!$E$31/12*Assumptions!$E$17*AG11*(1+Assumptions!$E$18)^((AG$6-1)/12)</f>
        <v>60504.9440537508</v>
      </c>
      <c r="AH13" s="0" t="n">
        <f aca="false">Assumptions!$E$10*Assumptions!$E$16*Assumptions!$E$31/12*Assumptions!$E$17*AH11*(1+Assumptions!$E$18)^((AH$6-1)/12)</f>
        <v>70734.5033873538</v>
      </c>
      <c r="AI13" s="0" t="n">
        <f aca="false">Assumptions!$E$10*Assumptions!$E$16*Assumptions!$E$31/12*Assumptions!$E$17*AI11*(1+Assumptions!$E$18)^((AI$6-1)/12)</f>
        <v>81005.948437669</v>
      </c>
      <c r="AJ13" s="0" t="n">
        <f aca="false">Assumptions!$E$10*Assumptions!$E$16*Assumptions!$E$31/12*Assumptions!$E$17*AJ11*(1+Assumptions!$E$18)^((AJ$6-1)/12)</f>
        <v>91319.4083568757</v>
      </c>
      <c r="AK13" s="0" t="n">
        <f aca="false">Assumptions!$E$10*Assumptions!$E$16*Assumptions!$E$31/12*Assumptions!$E$17*AK11*(1+Assumptions!$E$18)^((AK$6-1)/12)</f>
        <v>101675.0126515</v>
      </c>
      <c r="AL13" s="0" t="n">
        <f aca="false">Assumptions!$E$10*Assumptions!$E$16*Assumptions!$E$31/12*Assumptions!$E$17*AL11*(1+Assumptions!$E$18)^((AL$6-1)/12)</f>
        <v>112072.891183326</v>
      </c>
      <c r="AM13" s="0" t="n">
        <f aca="false">Assumptions!$E$10*Assumptions!$E$16*Assumptions!$E$31/12*Assumptions!$E$17*AM11*(1+Assumptions!$E$18)^((AM$6-1)/12)</f>
        <v>122513.17417031</v>
      </c>
      <c r="AN13" s="0" t="n">
        <f aca="false">Assumptions!$E$10*Assumptions!$E$16*Assumptions!$E$31/12*Assumptions!$E$17*AN11*(1+Assumptions!$E$18)^((AN$6-1)/12)</f>
        <v>122765.53125</v>
      </c>
      <c r="AO13" s="0" t="n">
        <f aca="false">Assumptions!$E$10*Assumptions!$E$16*Assumptions!$E$31/12*Assumptions!$E$17*AO11*(1+Assumptions!$E$18)^((AO$6-1)/12)</f>
        <v>123018.408143955</v>
      </c>
      <c r="AP13" s="0" t="n">
        <f aca="false">Assumptions!$E$10*Assumptions!$E$16*Assumptions!$E$31/12*Assumptions!$E$17*AP11*(1+Assumptions!$E$18)^((AP$6-1)/12)</f>
        <v>123271.805922909</v>
      </c>
      <c r="AQ13" s="0" t="n">
        <f aca="false">Assumptions!$E$10*Assumptions!$E$16*Assumptions!$E$31/12*Assumptions!$E$17*AQ11*(1+Assumptions!$E$18)^((AQ$6-1)/12)</f>
        <v>123525.725659798</v>
      </c>
      <c r="AR13" s="0" t="n">
        <f aca="false">Assumptions!$E$10*Assumptions!$E$16*Assumptions!$E$31/12*Assumptions!$E$17*AR11*(1+Assumptions!$E$18)^((AR$6-1)/12)</f>
        <v>123780.16842977</v>
      </c>
      <c r="AS13" s="0" t="n">
        <f aca="false">Assumptions!$E$10*Assumptions!$E$16*Assumptions!$E$31/12*Assumptions!$E$17*AS11*(1+Assumptions!$E$18)^((AS$6-1)/12)</f>
        <v>124035.135310189</v>
      </c>
      <c r="AT13" s="0" t="n">
        <f aca="false">Assumptions!$E$10*Assumptions!$E$16*Assumptions!$E$31/12*Assumptions!$E$17*AT11*(1+Assumptions!$E$18)^((AT$6-1)/12)</f>
        <v>124290.627380636</v>
      </c>
      <c r="AU13" s="0" t="n">
        <f aca="false">Assumptions!$E$10*Assumptions!$E$16*Assumptions!$E$31/12*Assumptions!$E$17*AU11*(1+Assumptions!$E$18)^((AU$6-1)/12)</f>
        <v>124546.645722916</v>
      </c>
      <c r="AV13" s="0" t="n">
        <f aca="false">Assumptions!$E$10*Assumptions!$E$16*Assumptions!$E$31/12*Assumptions!$E$17*AV11*(1+Assumptions!$E$18)^((AV$6-1)/12)</f>
        <v>124803.191421063</v>
      </c>
      <c r="AW13" s="0" t="n">
        <f aca="false">Assumptions!$E$10*Assumptions!$E$16*Assumptions!$E$31/12*Assumptions!$E$17*AW11*(1+Assumptions!$E$18)^((AW$6-1)/12)</f>
        <v>125060.265561345</v>
      </c>
      <c r="AX13" s="0" t="n">
        <f aca="false">Assumptions!$E$10*Assumptions!$E$16*Assumptions!$E$31/12*Assumptions!$E$17*AX11*(1+Assumptions!$E$18)^((AX$6-1)/12)</f>
        <v>125317.869232264</v>
      </c>
      <c r="AY13" s="0" t="n">
        <f aca="false">Assumptions!$E$10*Assumptions!$E$16*Assumptions!$E$31/12*Assumptions!$E$17*AY11*(1+Assumptions!$E$18)^((AY$6-1)/12)</f>
        <v>125576.003524568</v>
      </c>
      <c r="AZ13" s="0" t="n">
        <f aca="false">Assumptions!$E$10*Assumptions!$E$16*Assumptions!$E$31/12*Assumptions!$E$17*AZ11*(1+Assumptions!$E$18)^((AZ$6-1)/12)</f>
        <v>125834.66953125</v>
      </c>
      <c r="BA13" s="0" t="n">
        <f aca="false">Assumptions!$E$10*Assumptions!$E$16*Assumptions!$E$31/12*Assumptions!$E$17*BA11*(1+Assumptions!$E$18)^((BA$6-1)/12)</f>
        <v>126093.868347554</v>
      </c>
      <c r="BB13" s="0" t="n">
        <f aca="false">Assumptions!$E$10*Assumptions!$E$16*Assumptions!$E$31/12*Assumptions!$E$17*BB11*(1+Assumptions!$E$18)^((BB$6-1)/12)</f>
        <v>126353.601070981</v>
      </c>
      <c r="BC13" s="0" t="n">
        <f aca="false">Assumptions!$E$10*Assumptions!$E$16*Assumptions!$E$31/12*Assumptions!$E$17*BC11*(1+Assumptions!$E$18)^((BC$6-1)/12)</f>
        <v>126613.868801292</v>
      </c>
      <c r="BD13" s="0" t="n">
        <f aca="false">Assumptions!$E$10*Assumptions!$E$16*Assumptions!$E$31/12*Assumptions!$E$17*BD11*(1+Assumptions!$E$18)^((BD$6-1)/12)</f>
        <v>126874.672640514</v>
      </c>
      <c r="BE13" s="0" t="n">
        <f aca="false">Assumptions!$E$10*Assumptions!$E$16*Assumptions!$E$31/12*Assumptions!$E$17*BE11*(1+Assumptions!$E$18)^((BE$6-1)/12)</f>
        <v>127136.013692944</v>
      </c>
      <c r="BF13" s="0" t="n">
        <f aca="false">Assumptions!$E$10*Assumptions!$E$16*Assumptions!$E$31/12*Assumptions!$E$17*BF11*(1+Assumptions!$E$18)^((BF$6-1)/12)</f>
        <v>127397.893065152</v>
      </c>
      <c r="BG13" s="0" t="n">
        <f aca="false">Assumptions!$E$10*Assumptions!$E$16*Assumptions!$E$31/12*Assumptions!$E$17*BG11*(1+Assumptions!$E$18)^((BG$6-1)/12)</f>
        <v>127660.311865989</v>
      </c>
      <c r="BH13" s="0" t="n">
        <f aca="false">Assumptions!$E$10*Assumptions!$E$16*Assumptions!$E$31/12*Assumptions!$E$17*BH11*(1+Assumptions!$E$18)^((BH$6-1)/12)</f>
        <v>127923.27120659</v>
      </c>
      <c r="BI13" s="0" t="n">
        <f aca="false">Assumptions!$E$10*Assumptions!$E$16*Assumptions!$E$31/12*Assumptions!$E$17*BI11*(1+Assumptions!$E$18)^((BI$6-1)/12)</f>
        <v>128186.772200378</v>
      </c>
      <c r="BJ13" s="0" t="n">
        <f aca="false">Assumptions!$E$10*Assumptions!$E$16*Assumptions!$E$31/12*Assumptions!$E$17*BJ11*(1+Assumptions!$E$18)^((BJ$6-1)/12)</f>
        <v>128450.815963071</v>
      </c>
      <c r="BK13" s="0" t="n">
        <f aca="false">Assumptions!$E$10*Assumptions!$E$16*Assumptions!$E$31/12*Assumptions!$E$17*BK11*(1+Assumptions!$E$18)^((BK$6-1)/12)</f>
        <v>128715.403612682</v>
      </c>
    </row>
    <row r="14" customFormat="false" ht="25" hidden="false" customHeight="true" outlineLevel="0" collapsed="false">
      <c r="A14" s="1"/>
      <c r="B14" s="1" t="s">
        <v>56</v>
      </c>
      <c r="C14" s="3" t="n">
        <f aca="false">C13*Assumptions!$E$20</f>
        <v>0</v>
      </c>
      <c r="D14" s="3" t="n">
        <f aca="false">D13*Assumptions!$E$20</f>
        <v>0</v>
      </c>
      <c r="E14" s="3" t="n">
        <f aca="false">E13*Assumptions!$E$20</f>
        <v>0</v>
      </c>
      <c r="F14" s="3" t="n">
        <f aca="false">F13*Assumptions!$E$20</f>
        <v>0</v>
      </c>
      <c r="G14" s="3" t="n">
        <f aca="false">G13*Assumptions!$E$20</f>
        <v>0</v>
      </c>
      <c r="H14" s="3" t="n">
        <f aca="false">H13*Assumptions!$E$20</f>
        <v>0</v>
      </c>
      <c r="I14" s="3" t="n">
        <f aca="false">I13*Assumptions!$E$20</f>
        <v>0</v>
      </c>
      <c r="J14" s="3" t="n">
        <f aca="false">J13*Assumptions!$E$20</f>
        <v>0</v>
      </c>
      <c r="K14" s="3" t="n">
        <f aca="false">K13*Assumptions!$E$20</f>
        <v>0</v>
      </c>
      <c r="L14" s="0" t="n">
        <f aca="false">L13*Assumptions!$E$20</f>
        <v>0</v>
      </c>
      <c r="M14" s="0" t="n">
        <f aca="false">M13*Assumptions!$E$20</f>
        <v>0</v>
      </c>
      <c r="N14" s="0" t="n">
        <f aca="false">N13*Assumptions!$E$20</f>
        <v>0</v>
      </c>
      <c r="O14" s="0" t="n">
        <f aca="false">O13*Assumptions!$E$20</f>
        <v>0</v>
      </c>
      <c r="P14" s="0" t="n">
        <f aca="false">P13*Assumptions!$E$20</f>
        <v>0</v>
      </c>
      <c r="Q14" s="0" t="n">
        <f aca="false">Q13*Assumptions!$E$20</f>
        <v>0</v>
      </c>
      <c r="R14" s="0" t="n">
        <f aca="false">R13*Assumptions!$E$20</f>
        <v>0</v>
      </c>
      <c r="S14" s="0" t="n">
        <f aca="false">S13*Assumptions!$E$20</f>
        <v>0</v>
      </c>
      <c r="T14" s="0" t="n">
        <f aca="false">T13*Assumptions!$E$20</f>
        <v>0</v>
      </c>
      <c r="U14" s="0" t="n">
        <f aca="false">U13*Assumptions!$E$20</f>
        <v>0</v>
      </c>
      <c r="V14" s="0" t="n">
        <f aca="false">V13*Assumptions!$E$20</f>
        <v>0</v>
      </c>
      <c r="W14" s="0" t="n">
        <f aca="false">W13*Assumptions!$E$20</f>
        <v>0</v>
      </c>
      <c r="X14" s="0" t="n">
        <f aca="false">X13*Assumptions!$E$20</f>
        <v>0</v>
      </c>
      <c r="Y14" s="0" t="n">
        <f aca="false">Y13*Assumptions!$E$20</f>
        <v>0</v>
      </c>
      <c r="Z14" s="0" t="n">
        <f aca="false">Z13*Assumptions!$E$20</f>
        <v>0</v>
      </c>
      <c r="AA14" s="0" t="n">
        <f aca="false">AA13*Assumptions!$E$20</f>
        <v>0</v>
      </c>
      <c r="AB14" s="0" t="n">
        <f aca="false">AB13*Assumptions!$E$20</f>
        <v>299.428125</v>
      </c>
      <c r="AC14" s="0" t="n">
        <f aca="false">AC13*Assumptions!$E$20</f>
        <v>600.089795824172</v>
      </c>
      <c r="AD14" s="0" t="n">
        <f aca="false">AD13*Assumptions!$E$20</f>
        <v>901.98882382616</v>
      </c>
      <c r="AE14" s="0" t="n">
        <f aca="false">AE13*Assumptions!$E$20</f>
        <v>1205.12903082729</v>
      </c>
      <c r="AF14" s="0" t="n">
        <f aca="false">AF13*Assumptions!$E$20</f>
        <v>1509.51424914354</v>
      </c>
      <c r="AG14" s="0" t="n">
        <f aca="false">AG13*Assumptions!$E$20</f>
        <v>1815.14832161252</v>
      </c>
      <c r="AH14" s="0" t="n">
        <f aca="false">AH13*Assumptions!$E$20</f>
        <v>2122.03510162061</v>
      </c>
      <c r="AI14" s="0" t="n">
        <f aca="false">AI13*Assumptions!$E$20</f>
        <v>2430.17845313007</v>
      </c>
      <c r="AJ14" s="0" t="n">
        <f aca="false">AJ13*Assumptions!$E$20</f>
        <v>2739.58225070627</v>
      </c>
      <c r="AK14" s="0" t="n">
        <f aca="false">AK13*Assumptions!$E$20</f>
        <v>3050.25037954499</v>
      </c>
      <c r="AL14" s="0" t="n">
        <f aca="false">AL13*Assumptions!$E$20</f>
        <v>3362.18673549977</v>
      </c>
      <c r="AM14" s="0" t="n">
        <f aca="false">AM13*Assumptions!$E$20</f>
        <v>3675.39522510931</v>
      </c>
      <c r="AN14" s="0" t="n">
        <f aca="false">AN13*Assumptions!$E$20</f>
        <v>3682.9659375</v>
      </c>
      <c r="AO14" s="0" t="n">
        <f aca="false">AO13*Assumptions!$E$20</f>
        <v>3690.55224431866</v>
      </c>
      <c r="AP14" s="0" t="n">
        <f aca="false">AP13*Assumptions!$E$20</f>
        <v>3698.15417768726</v>
      </c>
      <c r="AQ14" s="0" t="n">
        <f aca="false">AQ13*Assumptions!$E$20</f>
        <v>3705.77176979393</v>
      </c>
      <c r="AR14" s="0" t="n">
        <f aca="false">AR13*Assumptions!$E$20</f>
        <v>3713.40505289311</v>
      </c>
      <c r="AS14" s="0" t="n">
        <f aca="false">AS13*Assumptions!$E$20</f>
        <v>3721.05405930567</v>
      </c>
      <c r="AT14" s="0" t="n">
        <f aca="false">AT13*Assumptions!$E$20</f>
        <v>3728.71882141908</v>
      </c>
      <c r="AU14" s="0" t="n">
        <f aca="false">AU13*Assumptions!$E$20</f>
        <v>3736.39937168748</v>
      </c>
      <c r="AV14" s="0" t="n">
        <f aca="false">AV13*Assumptions!$E$20</f>
        <v>3744.0957426319</v>
      </c>
      <c r="AW14" s="0" t="n">
        <f aca="false">AW13*Assumptions!$E$20</f>
        <v>3751.80796684034</v>
      </c>
      <c r="AX14" s="0" t="n">
        <f aca="false">AX13*Assumptions!$E$20</f>
        <v>3759.53607696792</v>
      </c>
      <c r="AY14" s="0" t="n">
        <f aca="false">AY13*Assumptions!$E$20</f>
        <v>3767.28010573704</v>
      </c>
      <c r="AZ14" s="0" t="n">
        <f aca="false">AZ13*Assumptions!$E$20</f>
        <v>3775.0400859375</v>
      </c>
      <c r="BA14" s="0" t="n">
        <f aca="false">BA13*Assumptions!$E$20</f>
        <v>3782.81605042662</v>
      </c>
      <c r="BB14" s="0" t="n">
        <f aca="false">BB13*Assumptions!$E$20</f>
        <v>3790.60803212944</v>
      </c>
      <c r="BC14" s="0" t="n">
        <f aca="false">BC13*Assumptions!$E$20</f>
        <v>3798.41606403877</v>
      </c>
      <c r="BD14" s="0" t="n">
        <f aca="false">BD13*Assumptions!$E$20</f>
        <v>3806.24017921543</v>
      </c>
      <c r="BE14" s="0" t="n">
        <f aca="false">BE13*Assumptions!$E$20</f>
        <v>3814.08041078832</v>
      </c>
      <c r="BF14" s="0" t="n">
        <f aca="false">BF13*Assumptions!$E$20</f>
        <v>3821.93679195455</v>
      </c>
      <c r="BG14" s="0" t="n">
        <f aca="false">BG13*Assumptions!$E$20</f>
        <v>3829.80935597967</v>
      </c>
      <c r="BH14" s="0" t="n">
        <f aca="false">BH13*Assumptions!$E$20</f>
        <v>3837.6981361977</v>
      </c>
      <c r="BI14" s="0" t="n">
        <f aca="false">BI13*Assumptions!$E$20</f>
        <v>3845.60316601135</v>
      </c>
      <c r="BJ14" s="0" t="n">
        <f aca="false">BJ13*Assumptions!$E$20</f>
        <v>3853.52447889212</v>
      </c>
      <c r="BK14" s="0" t="n">
        <f aca="false">BK13*Assumptions!$E$20</f>
        <v>3861.46210838047</v>
      </c>
    </row>
    <row r="15" customFormat="false" ht="25" hidden="false" customHeight="true" outlineLevel="0" collapsed="false">
      <c r="A15" s="1"/>
      <c r="B15" s="1" t="s">
        <v>57</v>
      </c>
      <c r="C15" s="3" t="n">
        <f aca="false">SUM(C13:C14)*Assumptions!$E$19</f>
        <v>0</v>
      </c>
      <c r="D15" s="3" t="n">
        <f aca="false">SUM(D13:D14)*Assumptions!$E$19</f>
        <v>0</v>
      </c>
      <c r="E15" s="3" t="n">
        <f aca="false">SUM(E13:E14)*Assumptions!$E$19</f>
        <v>0</v>
      </c>
      <c r="F15" s="3" t="n">
        <f aca="false">SUM(F13:F14)*Assumptions!$E$19</f>
        <v>0</v>
      </c>
      <c r="G15" s="3" t="n">
        <f aca="false">SUM(G13:G14)*Assumptions!$E$19</f>
        <v>0</v>
      </c>
      <c r="H15" s="3" t="n">
        <f aca="false">SUM(H13:H14)*Assumptions!$E$19</f>
        <v>0</v>
      </c>
      <c r="I15" s="3" t="n">
        <f aca="false">SUM(I13:I14)*Assumptions!$E$19</f>
        <v>0</v>
      </c>
      <c r="J15" s="3" t="n">
        <f aca="false">SUM(J13:J14)*Assumptions!$E$19</f>
        <v>0</v>
      </c>
      <c r="K15" s="3" t="n">
        <f aca="false">SUM(K13:K14)*Assumptions!$E$19</f>
        <v>0</v>
      </c>
      <c r="L15" s="0" t="n">
        <f aca="false">SUM(L13:L14)*Assumptions!$E$19</f>
        <v>0</v>
      </c>
      <c r="M15" s="0" t="n">
        <f aca="false">SUM(M13:M14)*Assumptions!$E$19</f>
        <v>0</v>
      </c>
      <c r="N15" s="0" t="n">
        <f aca="false">SUM(N13:N14)*Assumptions!$E$19</f>
        <v>0</v>
      </c>
      <c r="O15" s="0" t="n">
        <f aca="false">SUM(O13:O14)*Assumptions!$E$19</f>
        <v>0</v>
      </c>
      <c r="P15" s="0" t="n">
        <f aca="false">SUM(P13:P14)*Assumptions!$E$19</f>
        <v>0</v>
      </c>
      <c r="Q15" s="0" t="n">
        <f aca="false">SUM(Q13:Q14)*Assumptions!$E$19</f>
        <v>0</v>
      </c>
      <c r="R15" s="0" t="n">
        <f aca="false">SUM(R13:R14)*Assumptions!$E$19</f>
        <v>0</v>
      </c>
      <c r="S15" s="0" t="n">
        <f aca="false">SUM(S13:S14)*Assumptions!$E$19</f>
        <v>0</v>
      </c>
      <c r="T15" s="0" t="n">
        <f aca="false">SUM(T13:T14)*Assumptions!$E$19</f>
        <v>0</v>
      </c>
      <c r="U15" s="0" t="n">
        <f aca="false">SUM(U13:U14)*Assumptions!$E$19</f>
        <v>0</v>
      </c>
      <c r="V15" s="0" t="n">
        <f aca="false">SUM(V13:V14)*Assumptions!$E$19</f>
        <v>0</v>
      </c>
      <c r="W15" s="0" t="n">
        <f aca="false">SUM(W13:W14)*Assumptions!$E$19</f>
        <v>0</v>
      </c>
      <c r="X15" s="0" t="n">
        <f aca="false">SUM(X13:X14)*Assumptions!$E$19</f>
        <v>0</v>
      </c>
      <c r="Y15" s="0" t="n">
        <f aca="false">SUM(Y13:Y14)*Assumptions!$E$19</f>
        <v>0</v>
      </c>
      <c r="Z15" s="0" t="n">
        <f aca="false">SUM(Z13:Z14)*Assumptions!$E$19</f>
        <v>0</v>
      </c>
      <c r="AA15" s="0" t="n">
        <f aca="false">SUM(AA13:AA14)*Assumptions!$E$19</f>
        <v>0</v>
      </c>
      <c r="AB15" s="0" t="n">
        <f aca="false">SUM(AB13:AB14)*Assumptions!$E$19</f>
        <v>2570.09140625</v>
      </c>
      <c r="AC15" s="0" t="n">
        <f aca="false">SUM(AC13:AC14)*Assumptions!$E$19</f>
        <v>5150.77074749081</v>
      </c>
      <c r="AD15" s="0" t="n">
        <f aca="false">SUM(AD13:AD14)*Assumptions!$E$19</f>
        <v>7742.0707378412</v>
      </c>
      <c r="AE15" s="0" t="n">
        <f aca="false">SUM(AE13:AE14)*Assumptions!$E$19</f>
        <v>10344.0241812676</v>
      </c>
      <c r="AF15" s="0" t="n">
        <f aca="false">SUM(AF13:AF14)*Assumptions!$E$19</f>
        <v>12956.6639718154</v>
      </c>
      <c r="AG15" s="0" t="n">
        <f aca="false">SUM(AG13:AG14)*Assumptions!$E$19</f>
        <v>15580.0230938408</v>
      </c>
      <c r="AH15" s="0" t="n">
        <f aca="false">SUM(AH13:AH14)*Assumptions!$E$19</f>
        <v>18214.1346222436</v>
      </c>
      <c r="AI15" s="0" t="n">
        <f aca="false">SUM(AI13:AI14)*Assumptions!$E$19</f>
        <v>20859.0317226998</v>
      </c>
      <c r="AJ15" s="0" t="n">
        <f aca="false">SUM(AJ13:AJ14)*Assumptions!$E$19</f>
        <v>23514.7476518955</v>
      </c>
      <c r="AK15" s="0" t="n">
        <f aca="false">SUM(AK13:AK14)*Assumptions!$E$19</f>
        <v>26181.3157577612</v>
      </c>
      <c r="AL15" s="0" t="n">
        <f aca="false">SUM(AL13:AL14)*Assumptions!$E$19</f>
        <v>28858.7694797064</v>
      </c>
      <c r="AM15" s="0" t="n">
        <f aca="false">SUM(AM13:AM14)*Assumptions!$E$19</f>
        <v>31547.1423488549</v>
      </c>
      <c r="AN15" s="0" t="n">
        <f aca="false">SUM(AN13:AN14)*Assumptions!$E$19</f>
        <v>31612.124296875</v>
      </c>
      <c r="AO15" s="0" t="n">
        <f aca="false">SUM(AO13:AO14)*Assumptions!$E$19</f>
        <v>31677.2400970685</v>
      </c>
      <c r="AP15" s="0" t="n">
        <f aca="false">SUM(AP13:AP14)*Assumptions!$E$19</f>
        <v>31742.4900251489</v>
      </c>
      <c r="AQ15" s="0" t="n">
        <f aca="false">SUM(AQ13:AQ14)*Assumptions!$E$19</f>
        <v>31807.8743573979</v>
      </c>
      <c r="AR15" s="0" t="n">
        <f aca="false">SUM(AR13:AR14)*Assumptions!$E$19</f>
        <v>31873.3933706658</v>
      </c>
      <c r="AS15" s="0" t="n">
        <f aca="false">SUM(AS13:AS14)*Assumptions!$E$19</f>
        <v>31939.0473423737</v>
      </c>
      <c r="AT15" s="0" t="n">
        <f aca="false">SUM(AT13:AT14)*Assumptions!$E$19</f>
        <v>32004.8365505138</v>
      </c>
      <c r="AU15" s="0" t="n">
        <f aca="false">SUM(AU13:AU14)*Assumptions!$E$19</f>
        <v>32070.7612736509</v>
      </c>
      <c r="AV15" s="0" t="n">
        <f aca="false">SUM(AV13:AV14)*Assumptions!$E$19</f>
        <v>32136.8217909238</v>
      </c>
      <c r="AW15" s="0" t="n">
        <f aca="false">SUM(AW13:AW14)*Assumptions!$E$19</f>
        <v>32203.0183820463</v>
      </c>
      <c r="AX15" s="0" t="n">
        <f aca="false">SUM(AX13:AX14)*Assumptions!$E$19</f>
        <v>32269.351327308</v>
      </c>
      <c r="AY15" s="0" t="n">
        <f aca="false">SUM(AY13:AY14)*Assumptions!$E$19</f>
        <v>32335.8209075763</v>
      </c>
      <c r="AZ15" s="0" t="n">
        <f aca="false">SUM(AZ13:AZ14)*Assumptions!$E$19</f>
        <v>32402.4274042969</v>
      </c>
      <c r="BA15" s="0" t="n">
        <f aca="false">SUM(BA13:BA14)*Assumptions!$E$19</f>
        <v>32469.1710994952</v>
      </c>
      <c r="BB15" s="0" t="n">
        <f aca="false">SUM(BB13:BB14)*Assumptions!$E$19</f>
        <v>32536.0522757777</v>
      </c>
      <c r="BC15" s="0" t="n">
        <f aca="false">SUM(BC13:BC14)*Assumptions!$E$19</f>
        <v>32603.0712163328</v>
      </c>
      <c r="BD15" s="0" t="n">
        <f aca="false">SUM(BD13:BD14)*Assumptions!$E$19</f>
        <v>32670.2282049325</v>
      </c>
      <c r="BE15" s="0" t="n">
        <f aca="false">SUM(BE13:BE14)*Assumptions!$E$19</f>
        <v>32737.523525933</v>
      </c>
      <c r="BF15" s="0" t="n">
        <f aca="false">SUM(BF13:BF14)*Assumptions!$E$19</f>
        <v>32804.9574642766</v>
      </c>
      <c r="BG15" s="0" t="n">
        <f aca="false">SUM(BG13:BG14)*Assumptions!$E$19</f>
        <v>32872.5303054922</v>
      </c>
      <c r="BH15" s="0" t="n">
        <f aca="false">SUM(BH13:BH14)*Assumptions!$E$19</f>
        <v>32940.2423356969</v>
      </c>
      <c r="BI15" s="0" t="n">
        <f aca="false">SUM(BI13:BI14)*Assumptions!$E$19</f>
        <v>33008.0938415974</v>
      </c>
      <c r="BJ15" s="0" t="n">
        <f aca="false">SUM(BJ13:BJ14)*Assumptions!$E$19</f>
        <v>33076.0851104907</v>
      </c>
      <c r="BK15" s="0" t="n">
        <f aca="false">SUM(BK13:BK14)*Assumptions!$E$19</f>
        <v>33144.2164302657</v>
      </c>
    </row>
    <row r="16" customFormat="false" ht="25" hidden="false" customHeight="true" outlineLevel="0" collapsed="false">
      <c r="A16" s="1"/>
      <c r="B16" s="1" t="s">
        <v>58</v>
      </c>
      <c r="C16" s="3" t="n">
        <f aca="false">SUM(C13:C14)-C15</f>
        <v>0</v>
      </c>
      <c r="D16" s="3" t="n">
        <f aca="false">SUM(D13:D14)-D15</f>
        <v>0</v>
      </c>
      <c r="E16" s="3" t="n">
        <f aca="false">SUM(E13:E14)-E15</f>
        <v>0</v>
      </c>
      <c r="F16" s="3" t="n">
        <f aca="false">SUM(F13:F14)-F15</f>
        <v>0</v>
      </c>
      <c r="G16" s="3" t="n">
        <f aca="false">SUM(G13:G14)-G15</f>
        <v>0</v>
      </c>
      <c r="H16" s="3" t="n">
        <f aca="false">SUM(H13:H14)-H15</f>
        <v>0</v>
      </c>
      <c r="I16" s="3" t="n">
        <f aca="false">SUM(I13:I14)-I15</f>
        <v>0</v>
      </c>
      <c r="J16" s="3" t="n">
        <f aca="false">SUM(J13:J14)-J15</f>
        <v>0</v>
      </c>
      <c r="K16" s="3" t="n">
        <f aca="false">SUM(K13:K14)-K15</f>
        <v>0</v>
      </c>
      <c r="L16" s="0" t="n">
        <f aca="false">SUM(L13:L14)-L15</f>
        <v>0</v>
      </c>
      <c r="M16" s="0" t="n">
        <f aca="false">SUM(M13:M14)-M15</f>
        <v>0</v>
      </c>
      <c r="N16" s="0" t="n">
        <f aca="false">SUM(N13:N14)-N15</f>
        <v>0</v>
      </c>
      <c r="O16" s="0" t="n">
        <f aca="false">SUM(O13:O14)-O15</f>
        <v>0</v>
      </c>
      <c r="P16" s="0" t="n">
        <f aca="false">SUM(P13:P14)-P15</f>
        <v>0</v>
      </c>
      <c r="Q16" s="0" t="n">
        <f aca="false">SUM(Q13:Q14)-Q15</f>
        <v>0</v>
      </c>
      <c r="R16" s="0" t="n">
        <f aca="false">SUM(R13:R14)-R15</f>
        <v>0</v>
      </c>
      <c r="S16" s="0" t="n">
        <f aca="false">SUM(S13:S14)-S15</f>
        <v>0</v>
      </c>
      <c r="T16" s="0" t="n">
        <f aca="false">SUM(T13:T14)-T15</f>
        <v>0</v>
      </c>
      <c r="U16" s="0" t="n">
        <f aca="false">SUM(U13:U14)-U15</f>
        <v>0</v>
      </c>
      <c r="V16" s="0" t="n">
        <f aca="false">SUM(V13:V14)-V15</f>
        <v>0</v>
      </c>
      <c r="W16" s="0" t="n">
        <f aca="false">SUM(W13:W14)-W15</f>
        <v>0</v>
      </c>
      <c r="X16" s="0" t="n">
        <f aca="false">SUM(X13:X14)-X15</f>
        <v>0</v>
      </c>
      <c r="Y16" s="0" t="n">
        <f aca="false">SUM(Y13:Y14)-Y15</f>
        <v>0</v>
      </c>
      <c r="Z16" s="0" t="n">
        <f aca="false">SUM(Z13:Z14)-Z15</f>
        <v>0</v>
      </c>
      <c r="AA16" s="0" t="n">
        <f aca="false">SUM(AA13:AA14)-AA15</f>
        <v>0</v>
      </c>
      <c r="AB16" s="0" t="n">
        <f aca="false">SUM(AB13:AB14)-AB15</f>
        <v>7710.27421875</v>
      </c>
      <c r="AC16" s="0" t="n">
        <f aca="false">SUM(AC13:AC14)-AC15</f>
        <v>15452.3122424724</v>
      </c>
      <c r="AD16" s="0" t="n">
        <f aca="false">SUM(AD13:AD14)-AD15</f>
        <v>23226.2122135236</v>
      </c>
      <c r="AE16" s="0" t="n">
        <f aca="false">SUM(AE13:AE14)-AE15</f>
        <v>31032.0725438028</v>
      </c>
      <c r="AF16" s="0" t="n">
        <f aca="false">SUM(AF13:AF14)-AF15</f>
        <v>38869.9919154461</v>
      </c>
      <c r="AG16" s="0" t="n">
        <f aca="false">SUM(AG13:AG14)-AG15</f>
        <v>46740.0692815225</v>
      </c>
      <c r="AH16" s="0" t="n">
        <f aca="false">SUM(AH13:AH14)-AH15</f>
        <v>54642.4038667308</v>
      </c>
      <c r="AI16" s="0" t="n">
        <f aca="false">SUM(AI13:AI14)-AI15</f>
        <v>62577.0951680993</v>
      </c>
      <c r="AJ16" s="0" t="n">
        <f aca="false">SUM(AJ13:AJ14)-AJ15</f>
        <v>70544.2429556865</v>
      </c>
      <c r="AK16" s="0" t="n">
        <f aca="false">SUM(AK13:AK14)-AK15</f>
        <v>78543.9472732835</v>
      </c>
      <c r="AL16" s="0" t="n">
        <f aca="false">SUM(AL13:AL14)-AL15</f>
        <v>86576.3084391191</v>
      </c>
      <c r="AM16" s="0" t="n">
        <f aca="false">SUM(AM13:AM14)-AM15</f>
        <v>94641.4270465648</v>
      </c>
      <c r="AN16" s="0" t="n">
        <f aca="false">SUM(AN13:AN14)-AN15</f>
        <v>94836.372890625</v>
      </c>
      <c r="AO16" s="0" t="n">
        <f aca="false">SUM(AO13:AO14)-AO15</f>
        <v>95031.7202912054</v>
      </c>
      <c r="AP16" s="0" t="n">
        <f aca="false">SUM(AP13:AP14)-AP15</f>
        <v>95227.4700754468</v>
      </c>
      <c r="AQ16" s="0" t="n">
        <f aca="false">SUM(AQ13:AQ14)-AQ15</f>
        <v>95423.6230721936</v>
      </c>
      <c r="AR16" s="0" t="n">
        <f aca="false">SUM(AR13:AR14)-AR15</f>
        <v>95620.1801119975</v>
      </c>
      <c r="AS16" s="0" t="n">
        <f aca="false">SUM(AS13:AS14)-AS15</f>
        <v>95817.1420271211</v>
      </c>
      <c r="AT16" s="0" t="n">
        <f aca="false">SUM(AT13:AT14)-AT15</f>
        <v>96014.5096515413</v>
      </c>
      <c r="AU16" s="0" t="n">
        <f aca="false">SUM(AU13:AU14)-AU15</f>
        <v>96212.2838209527</v>
      </c>
      <c r="AV16" s="0" t="n">
        <f aca="false">SUM(AV13:AV14)-AV15</f>
        <v>96410.4653727715</v>
      </c>
      <c r="AW16" s="0" t="n">
        <f aca="false">SUM(AW13:AW14)-AW15</f>
        <v>96609.0551461388</v>
      </c>
      <c r="AX16" s="0" t="n">
        <f aca="false">SUM(AX13:AX14)-AX15</f>
        <v>96808.053981924</v>
      </c>
      <c r="AY16" s="0" t="n">
        <f aca="false">SUM(AY13:AY14)-AY15</f>
        <v>97007.4627227289</v>
      </c>
      <c r="AZ16" s="0" t="n">
        <f aca="false">SUM(AZ13:AZ14)-AZ15</f>
        <v>97207.2822128906</v>
      </c>
      <c r="BA16" s="0" t="n">
        <f aca="false">SUM(BA13:BA14)-BA15</f>
        <v>97407.5132984856</v>
      </c>
      <c r="BB16" s="0" t="n">
        <f aca="false">SUM(BB13:BB14)-BB15</f>
        <v>97608.156827333</v>
      </c>
      <c r="BC16" s="0" t="n">
        <f aca="false">SUM(BC13:BC14)-BC15</f>
        <v>97809.2136489984</v>
      </c>
      <c r="BD16" s="0" t="n">
        <f aca="false">SUM(BD13:BD14)-BD15</f>
        <v>98010.6846147974</v>
      </c>
      <c r="BE16" s="0" t="n">
        <f aca="false">SUM(BE13:BE14)-BE15</f>
        <v>98212.5705777991</v>
      </c>
      <c r="BF16" s="0" t="n">
        <f aca="false">SUM(BF13:BF14)-BF15</f>
        <v>98414.8723928298</v>
      </c>
      <c r="BG16" s="0" t="n">
        <f aca="false">SUM(BG13:BG14)-BG15</f>
        <v>98617.5909164765</v>
      </c>
      <c r="BH16" s="0" t="n">
        <f aca="false">SUM(BH13:BH14)-BH15</f>
        <v>98820.7270070908</v>
      </c>
      <c r="BI16" s="0" t="n">
        <f aca="false">SUM(BI13:BI14)-BI15</f>
        <v>99024.2815247922</v>
      </c>
      <c r="BJ16" s="0" t="n">
        <f aca="false">SUM(BJ13:BJ14)-BJ15</f>
        <v>99228.2553314721</v>
      </c>
      <c r="BK16" s="0" t="n">
        <f aca="false">SUM(BK13:BK14)-BK15</f>
        <v>99432.6492907971</v>
      </c>
    </row>
    <row r="17" customFormat="false" ht="25" hidden="false" customHeight="true" outlineLevel="0" collapsed="false">
      <c r="A17" s="1"/>
      <c r="B17" s="1" t="s">
        <v>59</v>
      </c>
      <c r="C17" s="3" t="n">
        <f aca="false">SUM(C13:C14)*Assumptions!$E$21</f>
        <v>0</v>
      </c>
      <c r="D17" s="3" t="n">
        <f aca="false">SUM(D13:D14)*Assumptions!$E$21</f>
        <v>0</v>
      </c>
      <c r="E17" s="3" t="n">
        <f aca="false">SUM(E13:E14)*Assumptions!$E$21</f>
        <v>0</v>
      </c>
      <c r="F17" s="3" t="n">
        <f aca="false">SUM(F13:F14)*Assumptions!$E$21</f>
        <v>0</v>
      </c>
      <c r="G17" s="3" t="n">
        <f aca="false">SUM(G13:G14)*Assumptions!$E$21</f>
        <v>0</v>
      </c>
      <c r="H17" s="3" t="n">
        <f aca="false">SUM(H13:H14)*Assumptions!$E$21</f>
        <v>0</v>
      </c>
      <c r="I17" s="3" t="n">
        <f aca="false">SUM(I13:I14)*Assumptions!$E$21</f>
        <v>0</v>
      </c>
      <c r="J17" s="3" t="n">
        <f aca="false">SUM(J13:J14)*Assumptions!$E$21</f>
        <v>0</v>
      </c>
      <c r="K17" s="3" t="n">
        <f aca="false">SUM(K13:K14)*Assumptions!$E$21</f>
        <v>0</v>
      </c>
      <c r="L17" s="0" t="n">
        <f aca="false">SUM(L13:L14)*Assumptions!$E$21</f>
        <v>0</v>
      </c>
      <c r="M17" s="0" t="n">
        <f aca="false">SUM(M13:M14)*Assumptions!$E$21</f>
        <v>0</v>
      </c>
      <c r="N17" s="0" t="n">
        <f aca="false">SUM(N13:N14)*Assumptions!$E$21</f>
        <v>0</v>
      </c>
      <c r="O17" s="0" t="n">
        <f aca="false">SUM(O13:O14)*Assumptions!$E$21</f>
        <v>0</v>
      </c>
      <c r="P17" s="0" t="n">
        <f aca="false">SUM(P13:P14)*Assumptions!$E$21</f>
        <v>0</v>
      </c>
      <c r="Q17" s="0" t="n">
        <f aca="false">SUM(Q13:Q14)*Assumptions!$E$21</f>
        <v>0</v>
      </c>
      <c r="R17" s="0" t="n">
        <f aca="false">SUM(R13:R14)*Assumptions!$E$21</f>
        <v>0</v>
      </c>
      <c r="S17" s="0" t="n">
        <f aca="false">SUM(S13:S14)*Assumptions!$E$21</f>
        <v>0</v>
      </c>
      <c r="T17" s="0" t="n">
        <f aca="false">SUM(T13:T14)*Assumptions!$E$21</f>
        <v>0</v>
      </c>
      <c r="U17" s="0" t="n">
        <f aca="false">SUM(U13:U14)*Assumptions!$E$21</f>
        <v>0</v>
      </c>
      <c r="V17" s="0" t="n">
        <f aca="false">SUM(V13:V14)*Assumptions!$E$21</f>
        <v>0</v>
      </c>
      <c r="W17" s="0" t="n">
        <f aca="false">SUM(W13:W14)*Assumptions!$E$21</f>
        <v>0</v>
      </c>
      <c r="X17" s="0" t="n">
        <f aca="false">SUM(X13:X14)*Assumptions!$E$21</f>
        <v>0</v>
      </c>
      <c r="Y17" s="0" t="n">
        <f aca="false">SUM(Y13:Y14)*Assumptions!$E$21</f>
        <v>0</v>
      </c>
      <c r="Z17" s="0" t="n">
        <f aca="false">SUM(Z13:Z14)*Assumptions!$E$21</f>
        <v>0</v>
      </c>
      <c r="AA17" s="0" t="n">
        <f aca="false">SUM(AA13:AA14)*Assumptions!$E$21</f>
        <v>0</v>
      </c>
      <c r="AB17" s="0" t="n">
        <f aca="false">SUM(AB13:AB14)*Assumptions!$E$21</f>
        <v>205.6073125</v>
      </c>
      <c r="AC17" s="0" t="n">
        <f aca="false">SUM(AC13:AC14)*Assumptions!$E$21</f>
        <v>412.061659799265</v>
      </c>
      <c r="AD17" s="0" t="n">
        <f aca="false">SUM(AD13:AD14)*Assumptions!$E$21</f>
        <v>619.365659027296</v>
      </c>
      <c r="AE17" s="0" t="n">
        <f aca="false">SUM(AE13:AE14)*Assumptions!$E$21</f>
        <v>827.521934501408</v>
      </c>
      <c r="AF17" s="0" t="n">
        <f aca="false">SUM(AF13:AF14)*Assumptions!$E$21</f>
        <v>1036.53311774523</v>
      </c>
      <c r="AG17" s="0" t="n">
        <f aca="false">SUM(AG13:AG14)*Assumptions!$E$21</f>
        <v>1246.40184750727</v>
      </c>
      <c r="AH17" s="0" t="n">
        <f aca="false">SUM(AH13:AH14)*Assumptions!$E$21</f>
        <v>1457.13076977949</v>
      </c>
      <c r="AI17" s="0" t="n">
        <f aca="false">SUM(AI13:AI14)*Assumptions!$E$21</f>
        <v>1668.72253781598</v>
      </c>
      <c r="AJ17" s="0" t="n">
        <f aca="false">SUM(AJ13:AJ14)*Assumptions!$E$21</f>
        <v>1881.17981215164</v>
      </c>
      <c r="AK17" s="0" t="n">
        <f aca="false">SUM(AK13:AK14)*Assumptions!$E$21</f>
        <v>2094.50526062089</v>
      </c>
      <c r="AL17" s="0" t="n">
        <f aca="false">SUM(AL13:AL14)*Assumptions!$E$21</f>
        <v>2308.70155837651</v>
      </c>
      <c r="AM17" s="0" t="n">
        <f aca="false">SUM(AM13:AM14)*Assumptions!$E$21</f>
        <v>2523.77138790839</v>
      </c>
      <c r="AN17" s="0" t="n">
        <f aca="false">SUM(AN13:AN14)*Assumptions!$E$21</f>
        <v>2528.96994375</v>
      </c>
      <c r="AO17" s="0" t="n">
        <f aca="false">SUM(AO13:AO14)*Assumptions!$E$21</f>
        <v>2534.17920776548</v>
      </c>
      <c r="AP17" s="0" t="n">
        <f aca="false">SUM(AP13:AP14)*Assumptions!$E$21</f>
        <v>2539.39920201192</v>
      </c>
      <c r="AQ17" s="0" t="n">
        <f aca="false">SUM(AQ13:AQ14)*Assumptions!$E$21</f>
        <v>2544.62994859183</v>
      </c>
      <c r="AR17" s="0" t="n">
        <f aca="false">SUM(AR13:AR14)*Assumptions!$E$21</f>
        <v>2549.87146965327</v>
      </c>
      <c r="AS17" s="0" t="n">
        <f aca="false">SUM(AS13:AS14)*Assumptions!$E$21</f>
        <v>2555.1237873899</v>
      </c>
      <c r="AT17" s="0" t="n">
        <f aca="false">SUM(AT13:AT14)*Assumptions!$E$21</f>
        <v>2560.3869240411</v>
      </c>
      <c r="AU17" s="0" t="n">
        <f aca="false">SUM(AU13:AU14)*Assumptions!$E$21</f>
        <v>2565.66090189207</v>
      </c>
      <c r="AV17" s="0" t="n">
        <f aca="false">SUM(AV13:AV14)*Assumptions!$E$21</f>
        <v>2570.94574327391</v>
      </c>
      <c r="AW17" s="0" t="n">
        <f aca="false">SUM(AW13:AW14)*Assumptions!$E$21</f>
        <v>2576.2414705637</v>
      </c>
      <c r="AX17" s="0" t="n">
        <f aca="false">SUM(AX13:AX14)*Assumptions!$E$21</f>
        <v>2581.54810618464</v>
      </c>
      <c r="AY17" s="0" t="n">
        <f aca="false">SUM(AY13:AY14)*Assumptions!$E$21</f>
        <v>2586.8656726061</v>
      </c>
      <c r="AZ17" s="0" t="n">
        <f aca="false">SUM(AZ13:AZ14)*Assumptions!$E$21</f>
        <v>2592.19419234375</v>
      </c>
      <c r="BA17" s="0" t="n">
        <f aca="false">SUM(BA13:BA14)*Assumptions!$E$21</f>
        <v>2597.53368795962</v>
      </c>
      <c r="BB17" s="0" t="n">
        <f aca="false">SUM(BB13:BB14)*Assumptions!$E$21</f>
        <v>2602.88418206221</v>
      </c>
      <c r="BC17" s="0" t="n">
        <f aca="false">SUM(BC13:BC14)*Assumptions!$E$21</f>
        <v>2608.24569730662</v>
      </c>
      <c r="BD17" s="0" t="n">
        <f aca="false">SUM(BD13:BD14)*Assumptions!$E$21</f>
        <v>2613.6182563946</v>
      </c>
      <c r="BE17" s="0" t="n">
        <f aca="false">SUM(BE13:BE14)*Assumptions!$E$21</f>
        <v>2619.00188207464</v>
      </c>
      <c r="BF17" s="0" t="n">
        <f aca="false">SUM(BF13:BF14)*Assumptions!$E$21</f>
        <v>2624.39659714213</v>
      </c>
      <c r="BG17" s="0" t="n">
        <f aca="false">SUM(BG13:BG14)*Assumptions!$E$21</f>
        <v>2629.80242443937</v>
      </c>
      <c r="BH17" s="0" t="n">
        <f aca="false">SUM(BH13:BH14)*Assumptions!$E$21</f>
        <v>2635.21938685575</v>
      </c>
      <c r="BI17" s="0" t="n">
        <f aca="false">SUM(BI13:BI14)*Assumptions!$E$21</f>
        <v>2640.64750732779</v>
      </c>
      <c r="BJ17" s="0" t="n">
        <f aca="false">SUM(BJ13:BJ14)*Assumptions!$E$21</f>
        <v>2646.08680883926</v>
      </c>
      <c r="BK17" s="0" t="n">
        <f aca="false">SUM(BK13:BK14)*Assumptions!$E$21</f>
        <v>2651.53731442126</v>
      </c>
    </row>
    <row r="18" customFormat="false" ht="25" hidden="false" customHeight="true" outlineLevel="0" collapsed="false">
      <c r="A18" s="1"/>
      <c r="B18" s="1" t="s">
        <v>60</v>
      </c>
      <c r="C18" s="3" t="n">
        <f aca="false">Assumptions!$E$10*Assumptions!$E$16*Assumptions!$E$31*Assumptions!$E$17*(1+Assumptions!$E$20)*(1+Assumptions!$E$18)^(C$6/12)*(1-Assumptions!$E$19)</f>
        <v>1056780</v>
      </c>
      <c r="D18" s="3" t="n">
        <f aca="false">Assumptions!$E$10*Assumptions!$E$16*Assumptions!$E$31*Assumptions!$E$17*(1+Assumptions!$E$20)*(1+Assumptions!$E$18)^(D$6/12)*(1-Assumptions!$E$19)</f>
        <v>1058956.79377324</v>
      </c>
      <c r="E18" s="3" t="n">
        <f aca="false">Assumptions!$E$10*Assumptions!$E$16*Assumptions!$E$31*Assumptions!$E$17*(1+Assumptions!$E$20)*(1+Assumptions!$E$18)^(E$6/12)*(1-Assumptions!$E$19)</f>
        <v>1061138.07138526</v>
      </c>
      <c r="F18" s="3" t="n">
        <f aca="false">Assumptions!$E$10*Assumptions!$E$16*Assumptions!$E$31*Assumptions!$E$17*(1+Assumptions!$E$20)*(1+Assumptions!$E$18)^(F$6/12)*(1-Assumptions!$E$19)</f>
        <v>1063323.84207201</v>
      </c>
      <c r="G18" s="3" t="n">
        <f aca="false">Assumptions!$E$10*Assumptions!$E$16*Assumptions!$E$31*Assumptions!$E$17*(1+Assumptions!$E$20)*(1+Assumptions!$E$18)^(G$6/12)*(1-Assumptions!$E$19)</f>
        <v>1065514.11508849</v>
      </c>
      <c r="H18" s="3" t="n">
        <f aca="false">Assumptions!$E$10*Assumptions!$E$16*Assumptions!$E$31*Assumptions!$E$17*(1+Assumptions!$E$20)*(1+Assumptions!$E$18)^(H$6/12)*(1-Assumptions!$E$19)</f>
        <v>1067708.89970878</v>
      </c>
      <c r="I18" s="3" t="n">
        <f aca="false">Assumptions!$E$10*Assumptions!$E$16*Assumptions!$E$31*Assumptions!$E$17*(1+Assumptions!$E$20)*(1+Assumptions!$E$18)^(I$6/12)*(1-Assumptions!$E$19)</f>
        <v>1069908.20522604</v>
      </c>
      <c r="J18" s="3" t="n">
        <f aca="false">Assumptions!$E$10*Assumptions!$E$16*Assumptions!$E$31*Assumptions!$E$17*(1+Assumptions!$E$20)*(1+Assumptions!$E$18)^(J$6/12)*(1-Assumptions!$E$19)</f>
        <v>1072112.04095256</v>
      </c>
      <c r="K18" s="3" t="n">
        <f aca="false">Assumptions!$E$10*Assumptions!$E$16*Assumptions!$E$31*Assumptions!$E$17*(1+Assumptions!$E$20)*(1+Assumptions!$E$18)^(K$6/12)*(1-Assumptions!$E$19)</f>
        <v>1074320.41621985</v>
      </c>
      <c r="L18" s="0" t="n">
        <f aca="false">Assumptions!$E$10*Assumptions!$E$16*Assumptions!$E$31*Assumptions!$E$17*(1+Assumptions!$E$20)*(1+Assumptions!$E$18)^(L$6/12)*(1-Assumptions!$E$19)</f>
        <v>1076533.34037862</v>
      </c>
      <c r="M18" s="0" t="n">
        <f aca="false">Assumptions!$E$10*Assumptions!$E$16*Assumptions!$E$31*Assumptions!$E$17*(1+Assumptions!$E$20)*(1+Assumptions!$E$18)^(M$6/12)*(1-Assumptions!$E$19)</f>
        <v>1078750.82279882</v>
      </c>
      <c r="N18" s="0" t="n">
        <f aca="false">Assumptions!$E$10*Assumptions!$E$16*Assumptions!$E$31*Assumptions!$E$17*(1+Assumptions!$E$20)*(1+Assumptions!$E$18)^(N$6/12)*(1-Assumptions!$E$19)</f>
        <v>1080972.87286975</v>
      </c>
      <c r="O18" s="0" t="n">
        <f aca="false">Assumptions!$E$10*Assumptions!$E$16*Assumptions!$E$31*Assumptions!$E$17*(1+Assumptions!$E$20)*(1+Assumptions!$E$18)^(O$6/12)*(1-Assumptions!$E$19)</f>
        <v>1083199.5</v>
      </c>
      <c r="P18" s="0" t="n">
        <f aca="false">Assumptions!$E$10*Assumptions!$E$16*Assumptions!$E$31*Assumptions!$E$17*(1+Assumptions!$E$20)*(1+Assumptions!$E$18)^(P$6/12)*(1-Assumptions!$E$19)</f>
        <v>1085430.71361758</v>
      </c>
      <c r="Q18" s="0" t="n">
        <f aca="false">Assumptions!$E$10*Assumptions!$E$16*Assumptions!$E$31*Assumptions!$E$17*(1+Assumptions!$E$20)*(1+Assumptions!$E$18)^(Q$6/12)*(1-Assumptions!$E$19)</f>
        <v>1087666.52316989</v>
      </c>
      <c r="R18" s="0" t="n">
        <f aca="false">Assumptions!$E$10*Assumptions!$E$16*Assumptions!$E$31*Assumptions!$E$17*(1+Assumptions!$E$20)*(1+Assumptions!$E$18)^(R$6/12)*(1-Assumptions!$E$19)</f>
        <v>1089906.93812381</v>
      </c>
      <c r="S18" s="0" t="n">
        <f aca="false">Assumptions!$E$10*Assumptions!$E$16*Assumptions!$E$31*Assumptions!$E$17*(1+Assumptions!$E$20)*(1+Assumptions!$E$18)^(S$6/12)*(1-Assumptions!$E$19)</f>
        <v>1092151.96796571</v>
      </c>
      <c r="T18" s="0" t="n">
        <f aca="false">Assumptions!$E$10*Assumptions!$E$16*Assumptions!$E$31*Assumptions!$E$17*(1+Assumptions!$E$20)*(1+Assumptions!$E$18)^(T$6/12)*(1-Assumptions!$E$19)</f>
        <v>1094401.6222015</v>
      </c>
      <c r="U18" s="0" t="n">
        <f aca="false">Assumptions!$E$10*Assumptions!$E$16*Assumptions!$E$31*Assumptions!$E$17*(1+Assumptions!$E$20)*(1+Assumptions!$E$18)^(U$6/12)*(1-Assumptions!$E$19)</f>
        <v>1096655.91035669</v>
      </c>
      <c r="V18" s="0" t="n">
        <f aca="false">Assumptions!$E$10*Assumptions!$E$16*Assumptions!$E$31*Assumptions!$E$17*(1+Assumptions!$E$20)*(1+Assumptions!$E$18)^(V$6/12)*(1-Assumptions!$E$19)</f>
        <v>1098914.84197638</v>
      </c>
      <c r="W18" s="0" t="n">
        <f aca="false">Assumptions!$E$10*Assumptions!$E$16*Assumptions!$E$31*Assumptions!$E$17*(1+Assumptions!$E$20)*(1+Assumptions!$E$18)^(W$6/12)*(1-Assumptions!$E$19)</f>
        <v>1101178.42662535</v>
      </c>
      <c r="X18" s="0" t="n">
        <f aca="false">Assumptions!$E$10*Assumptions!$E$16*Assumptions!$E$31*Assumptions!$E$17*(1+Assumptions!$E$20)*(1+Assumptions!$E$18)^(X$6/12)*(1-Assumptions!$E$19)</f>
        <v>1103446.67388808</v>
      </c>
      <c r="Y18" s="0" t="n">
        <f aca="false">Assumptions!$E$10*Assumptions!$E$16*Assumptions!$E$31*Assumptions!$E$17*(1+Assumptions!$E$20)*(1+Assumptions!$E$18)^(Y$6/12)*(1-Assumptions!$E$19)</f>
        <v>1105719.59336879</v>
      </c>
      <c r="Z18" s="0" t="n">
        <f aca="false">Assumptions!$E$10*Assumptions!$E$16*Assumptions!$E$31*Assumptions!$E$17*(1+Assumptions!$E$20)*(1+Assumptions!$E$18)^(Z$6/12)*(1-Assumptions!$E$19)</f>
        <v>1107997.19469149</v>
      </c>
      <c r="AA18" s="0" t="n">
        <f aca="false">Assumptions!$E$10*Assumptions!$E$16*Assumptions!$E$31*Assumptions!$E$17*(1+Assumptions!$E$20)*(1+Assumptions!$E$18)^(AA$6/12)*(1-Assumptions!$E$19)</f>
        <v>1110279.4875</v>
      </c>
      <c r="AB18" s="0" t="n">
        <f aca="false">Assumptions!$E$10*Assumptions!$E$16*Assumptions!$E$31*Assumptions!$E$17*(1+Assumptions!$E$20)*(1+Assumptions!$E$18)^(AB$6/12)*(1-Assumptions!$E$19)</f>
        <v>1112566.48145801</v>
      </c>
      <c r="AC18" s="0" t="n">
        <f aca="false">Assumptions!$E$10*Assumptions!$E$16*Assumptions!$E$31*Assumptions!$E$17*(1+Assumptions!$E$20)*(1+Assumptions!$E$18)^(AC$6/12)*(1-Assumptions!$E$19)</f>
        <v>1114858.18624913</v>
      </c>
      <c r="AD18" s="0" t="n">
        <f aca="false">Assumptions!$E$10*Assumptions!$E$16*Assumptions!$E$31*Assumptions!$E$17*(1+Assumptions!$E$20)*(1+Assumptions!$E$18)^(AD$6/12)*(1-Assumptions!$E$19)</f>
        <v>1117154.6115769</v>
      </c>
      <c r="AE18" s="0" t="n">
        <f aca="false">Assumptions!$E$10*Assumptions!$E$16*Assumptions!$E$31*Assumptions!$E$17*(1+Assumptions!$E$20)*(1+Assumptions!$E$18)^(AE$6/12)*(1-Assumptions!$E$19)</f>
        <v>1119455.76716485</v>
      </c>
      <c r="AF18" s="0" t="n">
        <f aca="false">Assumptions!$E$10*Assumptions!$E$16*Assumptions!$E$31*Assumptions!$E$17*(1+Assumptions!$E$20)*(1+Assumptions!$E$18)^(AF$6/12)*(1-Assumptions!$E$19)</f>
        <v>1121761.66275654</v>
      </c>
      <c r="AG18" s="0" t="n">
        <f aca="false">Assumptions!$E$10*Assumptions!$E$16*Assumptions!$E$31*Assumptions!$E$17*(1+Assumptions!$E$20)*(1+Assumptions!$E$18)^(AG$6/12)*(1-Assumptions!$E$19)</f>
        <v>1124072.30811561</v>
      </c>
      <c r="AH18" s="0" t="n">
        <f aca="false">Assumptions!$E$10*Assumptions!$E$16*Assumptions!$E$31*Assumptions!$E$17*(1+Assumptions!$E$20)*(1+Assumptions!$E$18)^(AH$6/12)*(1-Assumptions!$E$19)</f>
        <v>1126387.71302579</v>
      </c>
      <c r="AI18" s="0" t="n">
        <f aca="false">Assumptions!$E$10*Assumptions!$E$16*Assumptions!$E$31*Assumptions!$E$17*(1+Assumptions!$E$20)*(1+Assumptions!$E$18)^(AI$6/12)*(1-Assumptions!$E$19)</f>
        <v>1128707.88729098</v>
      </c>
      <c r="AJ18" s="0" t="n">
        <f aca="false">Assumptions!$E$10*Assumptions!$E$16*Assumptions!$E$31*Assumptions!$E$17*(1+Assumptions!$E$20)*(1+Assumptions!$E$18)^(AJ$6/12)*(1-Assumptions!$E$19)</f>
        <v>1131032.84073528</v>
      </c>
      <c r="AK18" s="0" t="n">
        <f aca="false">Assumptions!$E$10*Assumptions!$E$16*Assumptions!$E$31*Assumptions!$E$17*(1+Assumptions!$E$20)*(1+Assumptions!$E$18)^(AK$6/12)*(1-Assumptions!$E$19)</f>
        <v>1133362.58320301</v>
      </c>
      <c r="AL18" s="0" t="n">
        <f aca="false">Assumptions!$E$10*Assumptions!$E$16*Assumptions!$E$31*Assumptions!$E$17*(1+Assumptions!$E$20)*(1+Assumptions!$E$18)^(AL$6/12)*(1-Assumptions!$E$19)</f>
        <v>1135697.12455878</v>
      </c>
      <c r="AM18" s="0" t="n">
        <f aca="false">Assumptions!$E$10*Assumptions!$E$16*Assumptions!$E$31*Assumptions!$E$17*(1+Assumptions!$E$20)*(1+Assumptions!$E$18)^(AM$6/12)*(1-Assumptions!$E$19)</f>
        <v>1138036.4746875</v>
      </c>
      <c r="AN18" s="0" t="n">
        <f aca="false">Assumptions!$E$10*Assumptions!$E$16*Assumptions!$E$31*Assumptions!$E$17*(1+Assumptions!$E$20)*(1+Assumptions!$E$18)^(AN$6/12)*(1-Assumptions!$E$19)</f>
        <v>1140380.64349447</v>
      </c>
      <c r="AO18" s="0" t="n">
        <f aca="false">Assumptions!$E$10*Assumptions!$E$16*Assumptions!$E$31*Assumptions!$E$17*(1+Assumptions!$E$20)*(1+Assumptions!$E$18)^(AO$6/12)*(1-Assumptions!$E$19)</f>
        <v>1142729.64090536</v>
      </c>
      <c r="AP18" s="0" t="n">
        <f aca="false">Assumptions!$E$10*Assumptions!$E$16*Assumptions!$E$31*Assumptions!$E$17*(1+Assumptions!$E$20)*(1+Assumptions!$E$18)^(AP$6/12)*(1-Assumptions!$E$19)</f>
        <v>1145083.47686632</v>
      </c>
      <c r="AQ18" s="0" t="n">
        <f aca="false">Assumptions!$E$10*Assumptions!$E$16*Assumptions!$E$31*Assumptions!$E$17*(1+Assumptions!$E$20)*(1+Assumptions!$E$18)^(AQ$6/12)*(1-Assumptions!$E$19)</f>
        <v>1147442.16134397</v>
      </c>
      <c r="AR18" s="0" t="n">
        <f aca="false">Assumptions!$E$10*Assumptions!$E$16*Assumptions!$E$31*Assumptions!$E$17*(1+Assumptions!$E$20)*(1+Assumptions!$E$18)^(AR$6/12)*(1-Assumptions!$E$19)</f>
        <v>1149805.70432545</v>
      </c>
      <c r="AS18" s="0" t="n">
        <f aca="false">Assumptions!$E$10*Assumptions!$E$16*Assumptions!$E$31*Assumptions!$E$17*(1+Assumptions!$E$20)*(1+Assumptions!$E$18)^(AS$6/12)*(1-Assumptions!$E$19)</f>
        <v>1152174.1158185</v>
      </c>
      <c r="AT18" s="0" t="n">
        <f aca="false">Assumptions!$E$10*Assumptions!$E$16*Assumptions!$E$31*Assumptions!$E$17*(1+Assumptions!$E$20)*(1+Assumptions!$E$18)^(AT$6/12)*(1-Assumptions!$E$19)</f>
        <v>1154547.40585143</v>
      </c>
      <c r="AU18" s="0" t="n">
        <f aca="false">Assumptions!$E$10*Assumptions!$E$16*Assumptions!$E$31*Assumptions!$E$17*(1+Assumptions!$E$20)*(1+Assumptions!$E$18)^(AU$6/12)*(1-Assumptions!$E$19)</f>
        <v>1156925.58447326</v>
      </c>
      <c r="AV18" s="0" t="n">
        <f aca="false">Assumptions!$E$10*Assumptions!$E$16*Assumptions!$E$31*Assumptions!$E$17*(1+Assumptions!$E$20)*(1+Assumptions!$E$18)^(AV$6/12)*(1-Assumptions!$E$19)</f>
        <v>1159308.66175367</v>
      </c>
      <c r="AW18" s="0" t="n">
        <f aca="false">Assumptions!$E$10*Assumptions!$E$16*Assumptions!$E$31*Assumptions!$E$17*(1+Assumptions!$E$20)*(1+Assumptions!$E$18)^(AW$6/12)*(1-Assumptions!$E$19)</f>
        <v>1161696.64778309</v>
      </c>
      <c r="AX18" s="0" t="n">
        <f aca="false">Assumptions!$E$10*Assumptions!$E$16*Assumptions!$E$31*Assumptions!$E$17*(1+Assumptions!$E$20)*(1+Assumptions!$E$18)^(AX$6/12)*(1-Assumptions!$E$19)</f>
        <v>1164089.55267275</v>
      </c>
      <c r="AY18" s="0" t="n">
        <f aca="false">Assumptions!$E$10*Assumptions!$E$16*Assumptions!$E$31*Assumptions!$E$17*(1+Assumptions!$E$20)*(1+Assumptions!$E$18)^(AY$6/12)*(1-Assumptions!$E$19)</f>
        <v>1166487.38655469</v>
      </c>
      <c r="AZ18" s="0" t="n">
        <f aca="false">Assumptions!$E$10*Assumptions!$E$16*Assumptions!$E$31*Assumptions!$E$17*(1+Assumptions!$E$20)*(1+Assumptions!$E$18)^(AZ$6/12)*(1-Assumptions!$E$19)</f>
        <v>1168890.15958183</v>
      </c>
      <c r="BA18" s="0" t="n">
        <f aca="false">Assumptions!$E$10*Assumptions!$E$16*Assumptions!$E$31*Assumptions!$E$17*(1+Assumptions!$E$20)*(1+Assumptions!$E$18)^(BA$6/12)*(1-Assumptions!$E$19)</f>
        <v>1171297.881928</v>
      </c>
      <c r="BB18" s="0" t="n">
        <f aca="false">Assumptions!$E$10*Assumptions!$E$16*Assumptions!$E$31*Assumptions!$E$17*(1+Assumptions!$E$20)*(1+Assumptions!$E$18)^(BB$6/12)*(1-Assumptions!$E$19)</f>
        <v>1173710.56378798</v>
      </c>
      <c r="BC18" s="0" t="n">
        <f aca="false">Assumptions!$E$10*Assumptions!$E$16*Assumptions!$E$31*Assumptions!$E$17*(1+Assumptions!$E$20)*(1+Assumptions!$E$18)^(BC$6/12)*(1-Assumptions!$E$19)</f>
        <v>1176128.21537757</v>
      </c>
      <c r="BD18" s="0" t="n">
        <f aca="false">Assumptions!$E$10*Assumptions!$E$16*Assumptions!$E$31*Assumptions!$E$17*(1+Assumptions!$E$20)*(1+Assumptions!$E$18)^(BD$6/12)*(1-Assumptions!$E$19)</f>
        <v>1178550.84693359</v>
      </c>
      <c r="BE18" s="0" t="n">
        <f aca="false">Assumptions!$E$10*Assumptions!$E$16*Assumptions!$E$31*Assumptions!$E$17*(1+Assumptions!$E$20)*(1+Assumptions!$E$18)^(BE$6/12)*(1-Assumptions!$E$19)</f>
        <v>1180978.46871396</v>
      </c>
      <c r="BF18" s="0" t="n">
        <f aca="false">Assumptions!$E$10*Assumptions!$E$16*Assumptions!$E$31*Assumptions!$E$17*(1+Assumptions!$E$20)*(1+Assumptions!$E$18)^(BF$6/12)*(1-Assumptions!$E$19)</f>
        <v>1183411.09099772</v>
      </c>
      <c r="BG18" s="0" t="n">
        <f aca="false">Assumptions!$E$10*Assumptions!$E$16*Assumptions!$E$31*Assumptions!$E$17*(1+Assumptions!$E$20)*(1+Assumptions!$E$18)^(BG$6/12)*(1-Assumptions!$E$19)</f>
        <v>1185848.72408509</v>
      </c>
      <c r="BH18" s="0" t="n">
        <f aca="false">Assumptions!$E$10*Assumptions!$E$16*Assumptions!$E$31*Assumptions!$E$17*(1+Assumptions!$E$20)*(1+Assumptions!$E$18)^(BH$6/12)*(1-Assumptions!$E$19)</f>
        <v>1188291.37829751</v>
      </c>
      <c r="BI18" s="0" t="n">
        <f aca="false">Assumptions!$E$10*Assumptions!$E$16*Assumptions!$E$31*Assumptions!$E$17*(1+Assumptions!$E$20)*(1+Assumptions!$E$18)^(BI$6/12)*(1-Assumptions!$E$19)</f>
        <v>1190739.06397767</v>
      </c>
      <c r="BJ18" s="0" t="n">
        <f aca="false">Assumptions!$E$10*Assumptions!$E$16*Assumptions!$E$31*Assumptions!$E$17*(1+Assumptions!$E$20)*(1+Assumptions!$E$18)^(BJ$6/12)*(1-Assumptions!$E$19)</f>
        <v>1193191.79148957</v>
      </c>
      <c r="BK18" s="0" t="n">
        <f aca="false">Assumptions!$E$10*Assumptions!$E$16*Assumptions!$E$31*Assumptions!$E$17*(1+Assumptions!$E$20)*(1+Assumptions!$E$18)^(BK$6/12)*(1-Assumptions!$E$19)</f>
        <v>1195649.57121855</v>
      </c>
    </row>
    <row r="19" customFormat="false" ht="25" hidden="false" customHeight="true" outlineLevel="0" collapsed="false">
      <c r="A19" s="1"/>
      <c r="B19" s="1" t="s">
        <v>61</v>
      </c>
      <c r="C19" s="3" t="n">
        <f aca="false">0</f>
        <v>0</v>
      </c>
      <c r="D19" s="3" t="n">
        <f aca="false">C27</f>
        <v>2756000</v>
      </c>
      <c r="E19" s="3" t="n">
        <f aca="false">D27</f>
        <v>3137875</v>
      </c>
      <c r="F19" s="3" t="n">
        <f aca="false">E27</f>
        <v>3519750</v>
      </c>
      <c r="G19" s="3" t="n">
        <f aca="false">F27</f>
        <v>3901625</v>
      </c>
      <c r="H19" s="3" t="n">
        <f aca="false">G27</f>
        <v>4283500</v>
      </c>
      <c r="I19" s="3" t="n">
        <f aca="false">H27</f>
        <v>4665375</v>
      </c>
      <c r="J19" s="3" t="n">
        <f aca="false">I27</f>
        <v>5047250</v>
      </c>
      <c r="K19" s="3" t="n">
        <f aca="false">J27</f>
        <v>5429125</v>
      </c>
      <c r="L19" s="0" t="n">
        <f aca="false">K27</f>
        <v>5811000</v>
      </c>
      <c r="M19" s="0" t="n">
        <f aca="false">L27</f>
        <v>6192875</v>
      </c>
      <c r="N19" s="0" t="n">
        <f aca="false">M27</f>
        <v>6574750</v>
      </c>
      <c r="O19" s="0" t="n">
        <f aca="false">N27</f>
        <v>6956625</v>
      </c>
      <c r="P19" s="0" t="n">
        <f aca="false">O27</f>
        <v>7338500</v>
      </c>
      <c r="Q19" s="0" t="n">
        <f aca="false">P27</f>
        <v>7720375</v>
      </c>
      <c r="R19" s="0" t="n">
        <f aca="false">Q27</f>
        <v>8102250</v>
      </c>
      <c r="S19" s="0" t="n">
        <f aca="false">R27</f>
        <v>8484125</v>
      </c>
      <c r="T19" s="0" t="n">
        <f aca="false">S27</f>
        <v>8866000</v>
      </c>
      <c r="U19" s="0" t="n">
        <f aca="false">T27</f>
        <v>9247875</v>
      </c>
      <c r="V19" s="0" t="n">
        <f aca="false">U27</f>
        <v>9629750</v>
      </c>
      <c r="W19" s="0" t="n">
        <f aca="false">V27</f>
        <v>10011625</v>
      </c>
      <c r="X19" s="0" t="n">
        <f aca="false">W27</f>
        <v>10393500</v>
      </c>
      <c r="Y19" s="0" t="n">
        <f aca="false">X27</f>
        <v>10775375</v>
      </c>
      <c r="Z19" s="0" t="n">
        <f aca="false">Y27</f>
        <v>11157250</v>
      </c>
      <c r="AA19" s="0" t="n">
        <f aca="false">Z27</f>
        <v>11539125</v>
      </c>
      <c r="AB19" s="0" t="n">
        <f aca="false">AA27</f>
        <v>11921000</v>
      </c>
      <c r="AC19" s="0" t="n">
        <f aca="false">AB27</f>
        <v>11921000</v>
      </c>
      <c r="AD19" s="0" t="n">
        <f aca="false">AC27</f>
        <v>11921000</v>
      </c>
      <c r="AE19" s="0" t="n">
        <f aca="false">AD27</f>
        <v>11921000</v>
      </c>
      <c r="AF19" s="0" t="n">
        <f aca="false">AE27</f>
        <v>11921000</v>
      </c>
      <c r="AG19" s="0" t="n">
        <f aca="false">AF27</f>
        <v>11921000</v>
      </c>
      <c r="AH19" s="0" t="n">
        <f aca="false">AG27</f>
        <v>11921000</v>
      </c>
      <c r="AI19" s="0" t="n">
        <f aca="false">AH27</f>
        <v>11921000</v>
      </c>
      <c r="AJ19" s="0" t="n">
        <f aca="false">AI27</f>
        <v>11921000</v>
      </c>
      <c r="AK19" s="0" t="n">
        <f aca="false">AJ27</f>
        <v>11921000</v>
      </c>
      <c r="AL19" s="0" t="n">
        <f aca="false">AK27</f>
        <v>11921000</v>
      </c>
      <c r="AM19" s="0" t="n">
        <f aca="false">AL27</f>
        <v>11921000</v>
      </c>
      <c r="AN19" s="0" t="n">
        <f aca="false">AM27</f>
        <v>11921000</v>
      </c>
      <c r="AO19" s="0" t="n">
        <f aca="false">AN27</f>
        <v>11921000</v>
      </c>
      <c r="AP19" s="0" t="n">
        <f aca="false">AO27</f>
        <v>11921000</v>
      </c>
      <c r="AQ19" s="0" t="n">
        <f aca="false">AP27</f>
        <v>11921000</v>
      </c>
      <c r="AR19" s="0" t="n">
        <f aca="false">AQ27</f>
        <v>11921000</v>
      </c>
      <c r="AS19" s="0" t="n">
        <f aca="false">AR27</f>
        <v>11921000</v>
      </c>
      <c r="AT19" s="0" t="n">
        <f aca="false">AS27</f>
        <v>12022686.4259321</v>
      </c>
      <c r="AU19" s="0" t="n">
        <f aca="false">AT27</f>
        <v>12022686.4259321</v>
      </c>
      <c r="AV19" s="0" t="n">
        <f aca="false">AU27</f>
        <v>12022686.4259321</v>
      </c>
      <c r="AW19" s="0" t="n">
        <f aca="false">AV27</f>
        <v>12022686.4259321</v>
      </c>
      <c r="AX19" s="0" t="n">
        <f aca="false">AW27</f>
        <v>12022686.4259321</v>
      </c>
      <c r="AY19" s="0" t="n">
        <f aca="false">AX27</f>
        <v>12022686.4259321</v>
      </c>
      <c r="AZ19" s="0" t="n">
        <f aca="false">AY27</f>
        <v>12022686.4259321</v>
      </c>
      <c r="BA19" s="0" t="n">
        <f aca="false">AZ27</f>
        <v>12022686.4259321</v>
      </c>
      <c r="BB19" s="0" t="n">
        <f aca="false">BA27</f>
        <v>12022686.4259321</v>
      </c>
      <c r="BC19" s="0" t="n">
        <f aca="false">BB27</f>
        <v>12022686.4259321</v>
      </c>
      <c r="BD19" s="0" t="n">
        <f aca="false">BC27</f>
        <v>12022686.4259321</v>
      </c>
      <c r="BE19" s="0" t="n">
        <f aca="false">BD27</f>
        <v>12022686.4259321</v>
      </c>
      <c r="BF19" s="0" t="n">
        <f aca="false">BE27</f>
        <v>12022686.4259321</v>
      </c>
      <c r="BG19" s="0" t="n">
        <f aca="false">BF27</f>
        <v>12022686.4259321</v>
      </c>
      <c r="BH19" s="0" t="n">
        <f aca="false">BG27</f>
        <v>12022686.4259321</v>
      </c>
      <c r="BI19" s="0" t="n">
        <f aca="false">BH27</f>
        <v>12022686.4259321</v>
      </c>
      <c r="BJ19" s="0" t="n">
        <f aca="false">BI27</f>
        <v>12022686.4259321</v>
      </c>
      <c r="BK19" s="0" t="n">
        <f aca="false">BJ27</f>
        <v>12022686.4259321</v>
      </c>
    </row>
    <row r="20" customFormat="false" ht="25" hidden="false" customHeight="true" outlineLevel="0" collapsed="false">
      <c r="A20" s="1"/>
      <c r="B20" s="1" t="s">
        <v>62</v>
      </c>
      <c r="C20" s="3" t="n">
        <f aca="false">0</f>
        <v>0</v>
      </c>
      <c r="D20" s="3" t="n">
        <f aca="false">(D19+D10/2)*IF(AND(Assumptions!$E$24&gt;0,D$6&gt;Assumptions!$E$24),Assumptions!$E$27,Assumptions!$E$23)/12</f>
        <v>15962.578125</v>
      </c>
      <c r="E20" s="3" t="n">
        <f aca="false">(E19+E10/2)*IF(AND(Assumptions!$E$24&gt;0,E$6&gt;Assumptions!$E$24),Assumptions!$E$27,Assumptions!$E$23)/12</f>
        <v>18031.0677083333</v>
      </c>
      <c r="F20" s="3" t="n">
        <f aca="false">(F19+F10/2)*IF(AND(Assumptions!$E$24&gt;0,F$6&gt;Assumptions!$E$24),Assumptions!$E$27,Assumptions!$E$23)/12</f>
        <v>20099.5572916667</v>
      </c>
      <c r="G20" s="3" t="n">
        <f aca="false">(G19+G10/2)*IF(AND(Assumptions!$E$24&gt;0,G$6&gt;Assumptions!$E$24),Assumptions!$E$27,Assumptions!$E$23)/12</f>
        <v>22168.046875</v>
      </c>
      <c r="H20" s="3" t="n">
        <f aca="false">(H19+H10/2)*IF(AND(Assumptions!$E$24&gt;0,H$6&gt;Assumptions!$E$24),Assumptions!$E$27,Assumptions!$E$23)/12</f>
        <v>24236.5364583333</v>
      </c>
      <c r="I20" s="3" t="n">
        <f aca="false">(I19+I10/2)*IF(AND(Assumptions!$E$24&gt;0,I$6&gt;Assumptions!$E$24),Assumptions!$E$27,Assumptions!$E$23)/12</f>
        <v>26305.0260416667</v>
      </c>
      <c r="J20" s="3" t="n">
        <f aca="false">(J19+J10/2)*IF(AND(Assumptions!$E$24&gt;0,J$6&gt;Assumptions!$E$24),Assumptions!$E$27,Assumptions!$E$23)/12</f>
        <v>28373.515625</v>
      </c>
      <c r="K20" s="3" t="n">
        <f aca="false">(K19+K10/2)*IF(AND(Assumptions!$E$24&gt;0,K$6&gt;Assumptions!$E$24),Assumptions!$E$27,Assumptions!$E$23)/12</f>
        <v>30442.0052083333</v>
      </c>
      <c r="L20" s="0" t="n">
        <f aca="false">(L19+L10/2)*IF(AND(Assumptions!$E$24&gt;0,L$6&gt;Assumptions!$E$24),Assumptions!$E$27,Assumptions!$E$23)/12</f>
        <v>32510.4947916667</v>
      </c>
      <c r="M20" s="0" t="n">
        <f aca="false">(M19+M10/2)*IF(AND(Assumptions!$E$24&gt;0,M$6&gt;Assumptions!$E$24),Assumptions!$E$27,Assumptions!$E$23)/12</f>
        <v>34578.984375</v>
      </c>
      <c r="N20" s="0" t="n">
        <f aca="false">(N19+N10/2)*IF(AND(Assumptions!$E$24&gt;0,N$6&gt;Assumptions!$E$24),Assumptions!$E$27,Assumptions!$E$23)/12</f>
        <v>36647.4739583333</v>
      </c>
      <c r="O20" s="0" t="n">
        <f aca="false">(O19+O10/2)*IF(AND(Assumptions!$E$24&gt;0,O$6&gt;Assumptions!$E$24),Assumptions!$E$27,Assumptions!$E$23)/12</f>
        <v>38715.9635416667</v>
      </c>
      <c r="P20" s="0" t="n">
        <f aca="false">(P19+P10/2)*IF(AND(Assumptions!$E$24&gt;0,P$6&gt;Assumptions!$E$24),Assumptions!$E$27,Assumptions!$E$23)/12</f>
        <v>40784.453125</v>
      </c>
      <c r="Q20" s="0" t="n">
        <f aca="false">(Q19+Q10/2)*IF(AND(Assumptions!$E$24&gt;0,Q$6&gt;Assumptions!$E$24),Assumptions!$E$27,Assumptions!$E$23)/12</f>
        <v>42852.9427083333</v>
      </c>
      <c r="R20" s="0" t="n">
        <f aca="false">(R19+R10/2)*IF(AND(Assumptions!$E$24&gt;0,R$6&gt;Assumptions!$E$24),Assumptions!$E$27,Assumptions!$E$23)/12</f>
        <v>44921.4322916667</v>
      </c>
      <c r="S20" s="0" t="n">
        <f aca="false">(S19+S10/2)*IF(AND(Assumptions!$E$24&gt;0,S$6&gt;Assumptions!$E$24),Assumptions!$E$27,Assumptions!$E$23)/12</f>
        <v>46989.921875</v>
      </c>
      <c r="T20" s="0" t="n">
        <f aca="false">(T19+T10/2)*IF(AND(Assumptions!$E$24&gt;0,T$6&gt;Assumptions!$E$24),Assumptions!$E$27,Assumptions!$E$23)/12</f>
        <v>49058.4114583333</v>
      </c>
      <c r="U20" s="0" t="n">
        <f aca="false">(U19+U10/2)*IF(AND(Assumptions!$E$24&gt;0,U$6&gt;Assumptions!$E$24),Assumptions!$E$27,Assumptions!$E$23)/12</f>
        <v>51126.9010416667</v>
      </c>
      <c r="V20" s="0" t="n">
        <f aca="false">(V19+V10/2)*IF(AND(Assumptions!$E$24&gt;0,V$6&gt;Assumptions!$E$24),Assumptions!$E$27,Assumptions!$E$23)/12</f>
        <v>53195.390625</v>
      </c>
      <c r="W20" s="0" t="n">
        <f aca="false">(W19+W10/2)*IF(AND(Assumptions!$E$24&gt;0,W$6&gt;Assumptions!$E$24),Assumptions!$E$27,Assumptions!$E$23)/12</f>
        <v>55263.8802083333</v>
      </c>
      <c r="X20" s="0" t="n">
        <f aca="false">(X19+X10/2)*IF(AND(Assumptions!$E$24&gt;0,X$6&gt;Assumptions!$E$24),Assumptions!$E$27,Assumptions!$E$23)/12</f>
        <v>57332.3697916667</v>
      </c>
      <c r="Y20" s="0" t="n">
        <f aca="false">(Y19+Y10/2)*IF(AND(Assumptions!$E$24&gt;0,Y$6&gt;Assumptions!$E$24),Assumptions!$E$27,Assumptions!$E$23)/12</f>
        <v>59400.859375</v>
      </c>
      <c r="Z20" s="0" t="n">
        <f aca="false">(Z19+Z10/2)*IF(AND(Assumptions!$E$24&gt;0,Z$6&gt;Assumptions!$E$24),Assumptions!$E$27,Assumptions!$E$23)/12</f>
        <v>61469.3489583333</v>
      </c>
      <c r="AA20" s="0" t="n">
        <f aca="false">(AA19+AA10/2)*IF(AND(Assumptions!$E$24&gt;0,AA$6&gt;Assumptions!$E$24),Assumptions!$E$27,Assumptions!$E$23)/12</f>
        <v>63537.8385416667</v>
      </c>
      <c r="AB20" s="0" t="n">
        <f aca="false">(AB19+AB10/2)*IF(AND(Assumptions!$E$24&gt;0,AB$6&gt;Assumptions!$E$24),Assumptions!$E$27,Assumptions!$E$23)/12</f>
        <v>64572.0833333333</v>
      </c>
      <c r="AC20" s="0" t="n">
        <f aca="false">(AC19+AC10/2)*IF(AND(Assumptions!$E$24&gt;0,AC$6&gt;Assumptions!$E$24),Assumptions!$E$27,Assumptions!$E$23)/12</f>
        <v>64572.0833333333</v>
      </c>
      <c r="AD20" s="0" t="n">
        <f aca="false">(AD19+AD10/2)*IF(AND(Assumptions!$E$24&gt;0,AD$6&gt;Assumptions!$E$24),Assumptions!$E$27,Assumptions!$E$23)/12</f>
        <v>64572.0833333333</v>
      </c>
      <c r="AE20" s="0" t="n">
        <f aca="false">(AE19+AE10/2)*IF(AND(Assumptions!$E$24&gt;0,AE$6&gt;Assumptions!$E$24),Assumptions!$E$27,Assumptions!$E$23)/12</f>
        <v>64572.0833333333</v>
      </c>
      <c r="AF20" s="0" t="n">
        <f aca="false">(AF19+AF10/2)*IF(AND(Assumptions!$E$24&gt;0,AF$6&gt;Assumptions!$E$24),Assumptions!$E$27,Assumptions!$E$23)/12</f>
        <v>64572.0833333333</v>
      </c>
      <c r="AG20" s="0" t="n">
        <f aca="false">(AG19+AG10/2)*IF(AND(Assumptions!$E$24&gt;0,AG$6&gt;Assumptions!$E$24),Assumptions!$E$27,Assumptions!$E$23)/12</f>
        <v>64572.0833333333</v>
      </c>
      <c r="AH20" s="0" t="n">
        <f aca="false">(AH19+AH10/2)*IF(AND(Assumptions!$E$24&gt;0,AH$6&gt;Assumptions!$E$24),Assumptions!$E$27,Assumptions!$E$23)/12</f>
        <v>64572.0833333333</v>
      </c>
      <c r="AI20" s="0" t="n">
        <f aca="false">(AI19+AI10/2)*IF(AND(Assumptions!$E$24&gt;0,AI$6&gt;Assumptions!$E$24),Assumptions!$E$27,Assumptions!$E$23)/12</f>
        <v>64572.0833333333</v>
      </c>
      <c r="AJ20" s="0" t="n">
        <f aca="false">(AJ19+AJ10/2)*IF(AND(Assumptions!$E$24&gt;0,AJ$6&gt;Assumptions!$E$24),Assumptions!$E$27,Assumptions!$E$23)/12</f>
        <v>64572.0833333333</v>
      </c>
      <c r="AK20" s="0" t="n">
        <f aca="false">(AK19+AK10/2)*IF(AND(Assumptions!$E$24&gt;0,AK$6&gt;Assumptions!$E$24),Assumptions!$E$27,Assumptions!$E$23)/12</f>
        <v>64572.0833333333</v>
      </c>
      <c r="AL20" s="0" t="n">
        <f aca="false">(AL19+AL10/2)*IF(AND(Assumptions!$E$24&gt;0,AL$6&gt;Assumptions!$E$24),Assumptions!$E$27,Assumptions!$E$23)/12</f>
        <v>64572.0833333333</v>
      </c>
      <c r="AM20" s="0" t="n">
        <f aca="false">(AM19+AM10/2)*IF(AND(Assumptions!$E$24&gt;0,AM$6&gt;Assumptions!$E$24),Assumptions!$E$27,Assumptions!$E$23)/12</f>
        <v>64572.0833333333</v>
      </c>
      <c r="AN20" s="0" t="n">
        <f aca="false">(AN19+AN10/2)*IF(AND(Assumptions!$E$24&gt;0,AN$6&gt;Assumptions!$E$24),Assumptions!$E$27,Assumptions!$E$23)/12</f>
        <v>64572.0833333333</v>
      </c>
      <c r="AO20" s="0" t="n">
        <f aca="false">(AO19+AO10/2)*IF(AND(Assumptions!$E$24&gt;0,AO$6&gt;Assumptions!$E$24),Assumptions!$E$27,Assumptions!$E$23)/12</f>
        <v>64572.0833333333</v>
      </c>
      <c r="AP20" s="0" t="n">
        <f aca="false">(AP19+AP10/2)*IF(AND(Assumptions!$E$24&gt;0,AP$6&gt;Assumptions!$E$24),Assumptions!$E$27,Assumptions!$E$23)/12</f>
        <v>64572.0833333333</v>
      </c>
      <c r="AQ20" s="0" t="n">
        <f aca="false">(AQ19+AQ10/2)*IF(AND(Assumptions!$E$24&gt;0,AQ$6&gt;Assumptions!$E$24),Assumptions!$E$27,Assumptions!$E$23)/12</f>
        <v>64572.0833333333</v>
      </c>
      <c r="AR20" s="0" t="n">
        <f aca="false">(AR19+AR10/2)*IF(AND(Assumptions!$E$24&gt;0,AR$6&gt;Assumptions!$E$24),Assumptions!$E$27,Assumptions!$E$23)/12</f>
        <v>64572.0833333333</v>
      </c>
      <c r="AS20" s="0" t="n">
        <f aca="false">(AS19+AS10/2)*IF(AND(Assumptions!$E$24&gt;0,AS$6&gt;Assumptions!$E$24),Assumptions!$E$27,Assumptions!$E$23)/12</f>
        <v>64572.0833333333</v>
      </c>
      <c r="AT20" s="0" t="n">
        <f aca="false">(AT19+AT10/2)*IF(AND(Assumptions!$E$24&gt;0,AT$6&gt;Assumptions!$E$24),Assumptions!$E$27,Assumptions!$E$23)/12</f>
        <v>55103.9794521889</v>
      </c>
      <c r="AU20" s="0" t="n">
        <f aca="false">(AU19+AU10/2)*IF(AND(Assumptions!$E$24&gt;0,AU$6&gt;Assumptions!$E$24),Assumptions!$E$27,Assumptions!$E$23)/12</f>
        <v>55103.9794521889</v>
      </c>
      <c r="AV20" s="0" t="n">
        <f aca="false">(AV19+AV10/2)*IF(AND(Assumptions!$E$24&gt;0,AV$6&gt;Assumptions!$E$24),Assumptions!$E$27,Assumptions!$E$23)/12</f>
        <v>55103.9794521889</v>
      </c>
      <c r="AW20" s="0" t="n">
        <f aca="false">(AW19+AW10/2)*IF(AND(Assumptions!$E$24&gt;0,AW$6&gt;Assumptions!$E$24),Assumptions!$E$27,Assumptions!$E$23)/12</f>
        <v>55103.9794521889</v>
      </c>
      <c r="AX20" s="0" t="n">
        <f aca="false">(AX19+AX10/2)*IF(AND(Assumptions!$E$24&gt;0,AX$6&gt;Assumptions!$E$24),Assumptions!$E$27,Assumptions!$E$23)/12</f>
        <v>55103.9794521889</v>
      </c>
      <c r="AY20" s="0" t="n">
        <f aca="false">(AY19+AY10/2)*IF(AND(Assumptions!$E$24&gt;0,AY$6&gt;Assumptions!$E$24),Assumptions!$E$27,Assumptions!$E$23)/12</f>
        <v>55103.9794521889</v>
      </c>
      <c r="AZ20" s="0" t="n">
        <f aca="false">(AZ19+AZ10/2)*IF(AND(Assumptions!$E$24&gt;0,AZ$6&gt;Assumptions!$E$24),Assumptions!$E$27,Assumptions!$E$23)/12</f>
        <v>55103.9794521889</v>
      </c>
      <c r="BA20" s="0" t="n">
        <f aca="false">(BA19+BA10/2)*IF(AND(Assumptions!$E$24&gt;0,BA$6&gt;Assumptions!$E$24),Assumptions!$E$27,Assumptions!$E$23)/12</f>
        <v>55103.9794521889</v>
      </c>
      <c r="BB20" s="0" t="n">
        <f aca="false">(BB19+BB10/2)*IF(AND(Assumptions!$E$24&gt;0,BB$6&gt;Assumptions!$E$24),Assumptions!$E$27,Assumptions!$E$23)/12</f>
        <v>55103.9794521889</v>
      </c>
      <c r="BC20" s="0" t="n">
        <f aca="false">(BC19+BC10/2)*IF(AND(Assumptions!$E$24&gt;0,BC$6&gt;Assumptions!$E$24),Assumptions!$E$27,Assumptions!$E$23)/12</f>
        <v>55103.9794521889</v>
      </c>
      <c r="BD20" s="0" t="n">
        <f aca="false">(BD19+BD10/2)*IF(AND(Assumptions!$E$24&gt;0,BD$6&gt;Assumptions!$E$24),Assumptions!$E$27,Assumptions!$E$23)/12</f>
        <v>55103.9794521889</v>
      </c>
      <c r="BE20" s="0" t="n">
        <f aca="false">(BE19+BE10/2)*IF(AND(Assumptions!$E$24&gt;0,BE$6&gt;Assumptions!$E$24),Assumptions!$E$27,Assumptions!$E$23)/12</f>
        <v>55103.9794521889</v>
      </c>
      <c r="BF20" s="0" t="n">
        <f aca="false">(BF19+BF10/2)*IF(AND(Assumptions!$E$24&gt;0,BF$6&gt;Assumptions!$E$24),Assumptions!$E$27,Assumptions!$E$23)/12</f>
        <v>55103.9794521889</v>
      </c>
      <c r="BG20" s="0" t="n">
        <f aca="false">(BG19+BG10/2)*IF(AND(Assumptions!$E$24&gt;0,BG$6&gt;Assumptions!$E$24),Assumptions!$E$27,Assumptions!$E$23)/12</f>
        <v>55103.9794521889</v>
      </c>
      <c r="BH20" s="0" t="n">
        <f aca="false">(BH19+BH10/2)*IF(AND(Assumptions!$E$24&gt;0,BH$6&gt;Assumptions!$E$24),Assumptions!$E$27,Assumptions!$E$23)/12</f>
        <v>55103.9794521889</v>
      </c>
      <c r="BI20" s="0" t="n">
        <f aca="false">(BI19+BI10/2)*IF(AND(Assumptions!$E$24&gt;0,BI$6&gt;Assumptions!$E$24),Assumptions!$E$27,Assumptions!$E$23)/12</f>
        <v>55103.9794521889</v>
      </c>
      <c r="BJ20" s="0" t="n">
        <f aca="false">(BJ19+BJ10/2)*IF(AND(Assumptions!$E$24&gt;0,BJ$6&gt;Assumptions!$E$24),Assumptions!$E$27,Assumptions!$E$23)/12</f>
        <v>55103.9794521889</v>
      </c>
      <c r="BK20" s="0" t="n">
        <f aca="false">(BK19+BK10/2)*IF(AND(Assumptions!$E$24&gt;0,BK$6&gt;Assumptions!$E$24),Assumptions!$E$27,Assumptions!$E$23)/12</f>
        <v>55103.9794521889</v>
      </c>
    </row>
    <row r="21" customFormat="false" ht="25" hidden="false" customHeight="true" outlineLevel="0" collapsed="false">
      <c r="A21" s="1"/>
      <c r="B21" s="1" t="s">
        <v>63</v>
      </c>
      <c r="C21" s="3" t="n">
        <f aca="false">0</f>
        <v>0</v>
      </c>
      <c r="D21" s="3" t="n">
        <f aca="false">IF(AND(Assumptions!$E$24&gt;Assumptions!$E$14,D$6=Assumptions!$E$24),MIN(D18/Assumptions!$E$28*Assumptions!$E$25,D18/Assumptions!$E$26/Assumptions!$E$27),0)</f>
        <v>0</v>
      </c>
      <c r="E21" s="3" t="n">
        <f aca="false">IF(AND(Assumptions!$E$24&gt;Assumptions!$E$14,E$6=Assumptions!$E$24),MIN(E18/Assumptions!$E$28*Assumptions!$E$25,E18/Assumptions!$E$26/Assumptions!$E$27),0)</f>
        <v>0</v>
      </c>
      <c r="F21" s="3" t="n">
        <f aca="false">IF(AND(Assumptions!$E$24&gt;Assumptions!$E$14,F$6=Assumptions!$E$24),MIN(F18/Assumptions!$E$28*Assumptions!$E$25,F18/Assumptions!$E$26/Assumptions!$E$27),0)</f>
        <v>0</v>
      </c>
      <c r="G21" s="3" t="n">
        <f aca="false">IF(AND(Assumptions!$E$24&gt;Assumptions!$E$14,G$6=Assumptions!$E$24),MIN(G18/Assumptions!$E$28*Assumptions!$E$25,G18/Assumptions!$E$26/Assumptions!$E$27),0)</f>
        <v>0</v>
      </c>
      <c r="H21" s="3" t="n">
        <f aca="false">IF(AND(Assumptions!$E$24&gt;Assumptions!$E$14,H$6=Assumptions!$E$24),MIN(H18/Assumptions!$E$28*Assumptions!$E$25,H18/Assumptions!$E$26/Assumptions!$E$27),0)</f>
        <v>0</v>
      </c>
      <c r="I21" s="3" t="n">
        <f aca="false">IF(AND(Assumptions!$E$24&gt;Assumptions!$E$14,I$6=Assumptions!$E$24),MIN(I18/Assumptions!$E$28*Assumptions!$E$25,I18/Assumptions!$E$26/Assumptions!$E$27),0)</f>
        <v>0</v>
      </c>
      <c r="J21" s="3" t="n">
        <f aca="false">IF(AND(Assumptions!$E$24&gt;Assumptions!$E$14,J$6=Assumptions!$E$24),MIN(J18/Assumptions!$E$28*Assumptions!$E$25,J18/Assumptions!$E$26/Assumptions!$E$27),0)</f>
        <v>0</v>
      </c>
      <c r="K21" s="3" t="n">
        <f aca="false">IF(AND(Assumptions!$E$24&gt;Assumptions!$E$14,K$6=Assumptions!$E$24),MIN(K18/Assumptions!$E$28*Assumptions!$E$25,K18/Assumptions!$E$26/Assumptions!$E$27),0)</f>
        <v>0</v>
      </c>
      <c r="L21" s="0" t="n">
        <f aca="false">IF(AND(Assumptions!$E$24&gt;Assumptions!$E$14,L$6=Assumptions!$E$24),MIN(L18/Assumptions!$E$28*Assumptions!$E$25,L18/Assumptions!$E$26/Assumptions!$E$27),0)</f>
        <v>0</v>
      </c>
      <c r="M21" s="0" t="n">
        <f aca="false">IF(AND(Assumptions!$E$24&gt;Assumptions!$E$14,M$6=Assumptions!$E$24),MIN(M18/Assumptions!$E$28*Assumptions!$E$25,M18/Assumptions!$E$26/Assumptions!$E$27),0)</f>
        <v>0</v>
      </c>
      <c r="N21" s="0" t="n">
        <f aca="false">IF(AND(Assumptions!$E$24&gt;Assumptions!$E$14,N$6=Assumptions!$E$24),MIN(N18/Assumptions!$E$28*Assumptions!$E$25,N18/Assumptions!$E$26/Assumptions!$E$27),0)</f>
        <v>0</v>
      </c>
      <c r="O21" s="0" t="n">
        <f aca="false">IF(AND(Assumptions!$E$24&gt;Assumptions!$E$14,O$6=Assumptions!$E$24),MIN(O18/Assumptions!$E$28*Assumptions!$E$25,O18/Assumptions!$E$26/Assumptions!$E$27),0)</f>
        <v>0</v>
      </c>
      <c r="P21" s="0" t="n">
        <f aca="false">IF(AND(Assumptions!$E$24&gt;Assumptions!$E$14,P$6=Assumptions!$E$24),MIN(P18/Assumptions!$E$28*Assumptions!$E$25,P18/Assumptions!$E$26/Assumptions!$E$27),0)</f>
        <v>0</v>
      </c>
      <c r="Q21" s="0" t="n">
        <f aca="false">IF(AND(Assumptions!$E$24&gt;Assumptions!$E$14,Q$6=Assumptions!$E$24),MIN(Q18/Assumptions!$E$28*Assumptions!$E$25,Q18/Assumptions!$E$26/Assumptions!$E$27),0)</f>
        <v>0</v>
      </c>
      <c r="R21" s="0" t="n">
        <f aca="false">IF(AND(Assumptions!$E$24&gt;Assumptions!$E$14,R$6=Assumptions!$E$24),MIN(R18/Assumptions!$E$28*Assumptions!$E$25,R18/Assumptions!$E$26/Assumptions!$E$27),0)</f>
        <v>0</v>
      </c>
      <c r="S21" s="0" t="n">
        <f aca="false">IF(AND(Assumptions!$E$24&gt;Assumptions!$E$14,S$6=Assumptions!$E$24),MIN(S18/Assumptions!$E$28*Assumptions!$E$25,S18/Assumptions!$E$26/Assumptions!$E$27),0)</f>
        <v>0</v>
      </c>
      <c r="T21" s="0" t="n">
        <f aca="false">IF(AND(Assumptions!$E$24&gt;Assumptions!$E$14,T$6=Assumptions!$E$24),MIN(T18/Assumptions!$E$28*Assumptions!$E$25,T18/Assumptions!$E$26/Assumptions!$E$27),0)</f>
        <v>0</v>
      </c>
      <c r="U21" s="0" t="n">
        <f aca="false">IF(AND(Assumptions!$E$24&gt;Assumptions!$E$14,U$6=Assumptions!$E$24),MIN(U18/Assumptions!$E$28*Assumptions!$E$25,U18/Assumptions!$E$26/Assumptions!$E$27),0)</f>
        <v>0</v>
      </c>
      <c r="V21" s="0" t="n">
        <f aca="false">IF(AND(Assumptions!$E$24&gt;Assumptions!$E$14,V$6=Assumptions!$E$24),MIN(V18/Assumptions!$E$28*Assumptions!$E$25,V18/Assumptions!$E$26/Assumptions!$E$27),0)</f>
        <v>0</v>
      </c>
      <c r="W21" s="0" t="n">
        <f aca="false">IF(AND(Assumptions!$E$24&gt;Assumptions!$E$14,W$6=Assumptions!$E$24),MIN(W18/Assumptions!$E$28*Assumptions!$E$25,W18/Assumptions!$E$26/Assumptions!$E$27),0)</f>
        <v>0</v>
      </c>
      <c r="X21" s="0" t="n">
        <f aca="false">IF(AND(Assumptions!$E$24&gt;Assumptions!$E$14,X$6=Assumptions!$E$24),MIN(X18/Assumptions!$E$28*Assumptions!$E$25,X18/Assumptions!$E$26/Assumptions!$E$27),0)</f>
        <v>0</v>
      </c>
      <c r="Y21" s="0" t="n">
        <f aca="false">IF(AND(Assumptions!$E$24&gt;Assumptions!$E$14,Y$6=Assumptions!$E$24),MIN(Y18/Assumptions!$E$28*Assumptions!$E$25,Y18/Assumptions!$E$26/Assumptions!$E$27),0)</f>
        <v>0</v>
      </c>
      <c r="Z21" s="0" t="n">
        <f aca="false">IF(AND(Assumptions!$E$24&gt;Assumptions!$E$14,Z$6=Assumptions!$E$24),MIN(Z18/Assumptions!$E$28*Assumptions!$E$25,Z18/Assumptions!$E$26/Assumptions!$E$27),0)</f>
        <v>0</v>
      </c>
      <c r="AA21" s="0" t="n">
        <f aca="false">IF(AND(Assumptions!$E$24&gt;Assumptions!$E$14,AA$6=Assumptions!$E$24),MIN(AA18/Assumptions!$E$28*Assumptions!$E$25,AA18/Assumptions!$E$26/Assumptions!$E$27),0)</f>
        <v>0</v>
      </c>
      <c r="AB21" s="0" t="n">
        <f aca="false">IF(AND(Assumptions!$E$24&gt;Assumptions!$E$14,AB$6=Assumptions!$E$24),MIN(AB18/Assumptions!$E$28*Assumptions!$E$25,AB18/Assumptions!$E$26/Assumptions!$E$27),0)</f>
        <v>0</v>
      </c>
      <c r="AC21" s="0" t="n">
        <f aca="false">IF(AND(Assumptions!$E$24&gt;Assumptions!$E$14,AC$6=Assumptions!$E$24),MIN(AC18/Assumptions!$E$28*Assumptions!$E$25,AC18/Assumptions!$E$26/Assumptions!$E$27),0)</f>
        <v>0</v>
      </c>
      <c r="AD21" s="0" t="n">
        <f aca="false">IF(AND(Assumptions!$E$24&gt;Assumptions!$E$14,AD$6=Assumptions!$E$24),MIN(AD18/Assumptions!$E$28*Assumptions!$E$25,AD18/Assumptions!$E$26/Assumptions!$E$27),0)</f>
        <v>0</v>
      </c>
      <c r="AE21" s="0" t="n">
        <f aca="false">IF(AND(Assumptions!$E$24&gt;Assumptions!$E$14,AE$6=Assumptions!$E$24),MIN(AE18/Assumptions!$E$28*Assumptions!$E$25,AE18/Assumptions!$E$26/Assumptions!$E$27),0)</f>
        <v>0</v>
      </c>
      <c r="AF21" s="0" t="n">
        <f aca="false">IF(AND(Assumptions!$E$24&gt;Assumptions!$E$14,AF$6=Assumptions!$E$24),MIN(AF18/Assumptions!$E$28*Assumptions!$E$25,AF18/Assumptions!$E$26/Assumptions!$E$27),0)</f>
        <v>0</v>
      </c>
      <c r="AG21" s="0" t="n">
        <f aca="false">IF(AND(Assumptions!$E$24&gt;Assumptions!$E$14,AG$6=Assumptions!$E$24),MIN(AG18/Assumptions!$E$28*Assumptions!$E$25,AG18/Assumptions!$E$26/Assumptions!$E$27),0)</f>
        <v>0</v>
      </c>
      <c r="AH21" s="0" t="n">
        <f aca="false">IF(AND(Assumptions!$E$24&gt;Assumptions!$E$14,AH$6=Assumptions!$E$24),MIN(AH18/Assumptions!$E$28*Assumptions!$E$25,AH18/Assumptions!$E$26/Assumptions!$E$27),0)</f>
        <v>0</v>
      </c>
      <c r="AI21" s="0" t="n">
        <f aca="false">IF(AND(Assumptions!$E$24&gt;Assumptions!$E$14,AI$6=Assumptions!$E$24),MIN(AI18/Assumptions!$E$28*Assumptions!$E$25,AI18/Assumptions!$E$26/Assumptions!$E$27),0)</f>
        <v>0</v>
      </c>
      <c r="AJ21" s="0" t="n">
        <f aca="false">IF(AND(Assumptions!$E$24&gt;Assumptions!$E$14,AJ$6=Assumptions!$E$24),MIN(AJ18/Assumptions!$E$28*Assumptions!$E$25,AJ18/Assumptions!$E$26/Assumptions!$E$27),0)</f>
        <v>0</v>
      </c>
      <c r="AK21" s="0" t="n">
        <f aca="false">IF(AND(Assumptions!$E$24&gt;Assumptions!$E$14,AK$6=Assumptions!$E$24),MIN(AK18/Assumptions!$E$28*Assumptions!$E$25,AK18/Assumptions!$E$26/Assumptions!$E$27),0)</f>
        <v>0</v>
      </c>
      <c r="AL21" s="0" t="n">
        <f aca="false">IF(AND(Assumptions!$E$24&gt;Assumptions!$E$14,AL$6=Assumptions!$E$24),MIN(AL18/Assumptions!$E$28*Assumptions!$E$25,AL18/Assumptions!$E$26/Assumptions!$E$27),0)</f>
        <v>0</v>
      </c>
      <c r="AM21" s="0" t="n">
        <f aca="false">IF(AND(Assumptions!$E$24&gt;Assumptions!$E$14,AM$6=Assumptions!$E$24),MIN(AM18/Assumptions!$E$28*Assumptions!$E$25,AM18/Assumptions!$E$26/Assumptions!$E$27),0)</f>
        <v>0</v>
      </c>
      <c r="AN21" s="0" t="n">
        <f aca="false">IF(AND(Assumptions!$E$24&gt;Assumptions!$E$14,AN$6=Assumptions!$E$24),MIN(AN18/Assumptions!$E$28*Assumptions!$E$25,AN18/Assumptions!$E$26/Assumptions!$E$27),0)</f>
        <v>0</v>
      </c>
      <c r="AO21" s="0" t="n">
        <f aca="false">IF(AND(Assumptions!$E$24&gt;Assumptions!$E$14,AO$6=Assumptions!$E$24),MIN(AO18/Assumptions!$E$28*Assumptions!$E$25,AO18/Assumptions!$E$26/Assumptions!$E$27),0)</f>
        <v>0</v>
      </c>
      <c r="AP21" s="0" t="n">
        <f aca="false">IF(AND(Assumptions!$E$24&gt;Assumptions!$E$14,AP$6=Assumptions!$E$24),MIN(AP18/Assumptions!$E$28*Assumptions!$E$25,AP18/Assumptions!$E$26/Assumptions!$E$27),0)</f>
        <v>0</v>
      </c>
      <c r="AQ21" s="0" t="n">
        <f aca="false">IF(AND(Assumptions!$E$24&gt;Assumptions!$E$14,AQ$6=Assumptions!$E$24),MIN(AQ18/Assumptions!$E$28*Assumptions!$E$25,AQ18/Assumptions!$E$26/Assumptions!$E$27),0)</f>
        <v>0</v>
      </c>
      <c r="AR21" s="0" t="n">
        <f aca="false">IF(AND(Assumptions!$E$24&gt;Assumptions!$E$14,AR$6=Assumptions!$E$24),MIN(AR18/Assumptions!$E$28*Assumptions!$E$25,AR18/Assumptions!$E$26/Assumptions!$E$27),0)</f>
        <v>0</v>
      </c>
      <c r="AS21" s="0" t="n">
        <f aca="false">IF(AND(Assumptions!$E$24&gt;Assumptions!$E$14,AS$6=Assumptions!$E$24),MIN(AS18/Assumptions!$E$28*Assumptions!$E$25,AS18/Assumptions!$E$26/Assumptions!$E$27),0)</f>
        <v>12022686.4259321</v>
      </c>
      <c r="AT21" s="0" t="n">
        <f aca="false">IF(AND(Assumptions!$E$24&gt;Assumptions!$E$14,AT$6=Assumptions!$E$24),MIN(AT18/Assumptions!$E$28*Assumptions!$E$25,AT18/Assumptions!$E$26/Assumptions!$E$27),0)</f>
        <v>0</v>
      </c>
      <c r="AU21" s="0" t="n">
        <f aca="false">IF(AND(Assumptions!$E$24&gt;Assumptions!$E$14,AU$6=Assumptions!$E$24),MIN(AU18/Assumptions!$E$28*Assumptions!$E$25,AU18/Assumptions!$E$26/Assumptions!$E$27),0)</f>
        <v>0</v>
      </c>
      <c r="AV21" s="0" t="n">
        <f aca="false">IF(AND(Assumptions!$E$24&gt;Assumptions!$E$14,AV$6=Assumptions!$E$24),MIN(AV18/Assumptions!$E$28*Assumptions!$E$25,AV18/Assumptions!$E$26/Assumptions!$E$27),0)</f>
        <v>0</v>
      </c>
      <c r="AW21" s="0" t="n">
        <f aca="false">IF(AND(Assumptions!$E$24&gt;Assumptions!$E$14,AW$6=Assumptions!$E$24),MIN(AW18/Assumptions!$E$28*Assumptions!$E$25,AW18/Assumptions!$E$26/Assumptions!$E$27),0)</f>
        <v>0</v>
      </c>
      <c r="AX21" s="0" t="n">
        <f aca="false">IF(AND(Assumptions!$E$24&gt;Assumptions!$E$14,AX$6=Assumptions!$E$24),MIN(AX18/Assumptions!$E$28*Assumptions!$E$25,AX18/Assumptions!$E$26/Assumptions!$E$27),0)</f>
        <v>0</v>
      </c>
      <c r="AY21" s="0" t="n">
        <f aca="false">IF(AND(Assumptions!$E$24&gt;Assumptions!$E$14,AY$6=Assumptions!$E$24),MIN(AY18/Assumptions!$E$28*Assumptions!$E$25,AY18/Assumptions!$E$26/Assumptions!$E$27),0)</f>
        <v>0</v>
      </c>
      <c r="AZ21" s="0" t="n">
        <f aca="false">IF(AND(Assumptions!$E$24&gt;Assumptions!$E$14,AZ$6=Assumptions!$E$24),MIN(AZ18/Assumptions!$E$28*Assumptions!$E$25,AZ18/Assumptions!$E$26/Assumptions!$E$27),0)</f>
        <v>0</v>
      </c>
      <c r="BA21" s="0" t="n">
        <f aca="false">IF(AND(Assumptions!$E$24&gt;Assumptions!$E$14,BA$6=Assumptions!$E$24),MIN(BA18/Assumptions!$E$28*Assumptions!$E$25,BA18/Assumptions!$E$26/Assumptions!$E$27),0)</f>
        <v>0</v>
      </c>
      <c r="BB21" s="0" t="n">
        <f aca="false">IF(AND(Assumptions!$E$24&gt;Assumptions!$E$14,BB$6=Assumptions!$E$24),MIN(BB18/Assumptions!$E$28*Assumptions!$E$25,BB18/Assumptions!$E$26/Assumptions!$E$27),0)</f>
        <v>0</v>
      </c>
      <c r="BC21" s="0" t="n">
        <f aca="false">IF(AND(Assumptions!$E$24&gt;Assumptions!$E$14,BC$6=Assumptions!$E$24),MIN(BC18/Assumptions!$E$28*Assumptions!$E$25,BC18/Assumptions!$E$26/Assumptions!$E$27),0)</f>
        <v>0</v>
      </c>
      <c r="BD21" s="0" t="n">
        <f aca="false">IF(AND(Assumptions!$E$24&gt;Assumptions!$E$14,BD$6=Assumptions!$E$24),MIN(BD18/Assumptions!$E$28*Assumptions!$E$25,BD18/Assumptions!$E$26/Assumptions!$E$27),0)</f>
        <v>0</v>
      </c>
      <c r="BE21" s="0" t="n">
        <f aca="false">IF(AND(Assumptions!$E$24&gt;Assumptions!$E$14,BE$6=Assumptions!$E$24),MIN(BE18/Assumptions!$E$28*Assumptions!$E$25,BE18/Assumptions!$E$26/Assumptions!$E$27),0)</f>
        <v>0</v>
      </c>
      <c r="BF21" s="0" t="n">
        <f aca="false">IF(AND(Assumptions!$E$24&gt;Assumptions!$E$14,BF$6=Assumptions!$E$24),MIN(BF18/Assumptions!$E$28*Assumptions!$E$25,BF18/Assumptions!$E$26/Assumptions!$E$27),0)</f>
        <v>0</v>
      </c>
      <c r="BG21" s="0" t="n">
        <f aca="false">IF(AND(Assumptions!$E$24&gt;Assumptions!$E$14,BG$6=Assumptions!$E$24),MIN(BG18/Assumptions!$E$28*Assumptions!$E$25,BG18/Assumptions!$E$26/Assumptions!$E$27),0)</f>
        <v>0</v>
      </c>
      <c r="BH21" s="0" t="n">
        <f aca="false">IF(AND(Assumptions!$E$24&gt;Assumptions!$E$14,BH$6=Assumptions!$E$24),MIN(BH18/Assumptions!$E$28*Assumptions!$E$25,BH18/Assumptions!$E$26/Assumptions!$E$27),0)</f>
        <v>0</v>
      </c>
      <c r="BI21" s="0" t="n">
        <f aca="false">IF(AND(Assumptions!$E$24&gt;Assumptions!$E$14,BI$6=Assumptions!$E$24),MIN(BI18/Assumptions!$E$28*Assumptions!$E$25,BI18/Assumptions!$E$26/Assumptions!$E$27),0)</f>
        <v>0</v>
      </c>
      <c r="BJ21" s="0" t="n">
        <f aca="false">IF(AND(Assumptions!$E$24&gt;Assumptions!$E$14,BJ$6=Assumptions!$E$24),MIN(BJ18/Assumptions!$E$28*Assumptions!$E$25,BJ18/Assumptions!$E$26/Assumptions!$E$27),0)</f>
        <v>0</v>
      </c>
      <c r="BK21" s="0" t="n">
        <f aca="false">IF(AND(Assumptions!$E$24&gt;Assumptions!$E$14,BK$6=Assumptions!$E$24),MIN(BK18/Assumptions!$E$28*Assumptions!$E$25,BK18/Assumptions!$E$26/Assumptions!$E$27),0)</f>
        <v>0</v>
      </c>
    </row>
    <row r="22" customFormat="false" ht="25" hidden="false" customHeight="true" outlineLevel="0" collapsed="false">
      <c r="A22" s="1"/>
      <c r="B22" s="1" t="s">
        <v>64</v>
      </c>
      <c r="C22" s="3" t="n">
        <f aca="false">0</f>
        <v>0</v>
      </c>
      <c r="D22" s="3" t="n">
        <f aca="false">0</f>
        <v>0</v>
      </c>
      <c r="E22" s="3" t="n">
        <f aca="false">0</f>
        <v>0</v>
      </c>
      <c r="F22" s="3" t="n">
        <f aca="false">0</f>
        <v>0</v>
      </c>
      <c r="G22" s="3" t="n">
        <f aca="false">0</f>
        <v>0</v>
      </c>
      <c r="H22" s="3" t="n">
        <f aca="false">0</f>
        <v>0</v>
      </c>
      <c r="I22" s="3" t="n">
        <f aca="false">0</f>
        <v>0</v>
      </c>
      <c r="J22" s="3" t="n">
        <f aca="false">0</f>
        <v>0</v>
      </c>
      <c r="K22" s="3" t="n">
        <f aca="false">0</f>
        <v>0</v>
      </c>
      <c r="L22" s="0" t="n">
        <f aca="false">0</f>
        <v>0</v>
      </c>
      <c r="M22" s="0" t="n">
        <f aca="false">0</f>
        <v>0</v>
      </c>
      <c r="N22" s="0" t="n">
        <f aca="false">0</f>
        <v>0</v>
      </c>
      <c r="O22" s="0" t="n">
        <f aca="false">0</f>
        <v>0</v>
      </c>
      <c r="P22" s="0" t="n">
        <f aca="false">0</f>
        <v>0</v>
      </c>
      <c r="Q22" s="0" t="n">
        <f aca="false">0</f>
        <v>0</v>
      </c>
      <c r="R22" s="0" t="n">
        <f aca="false">0</f>
        <v>0</v>
      </c>
      <c r="S22" s="0" t="n">
        <f aca="false">0</f>
        <v>0</v>
      </c>
      <c r="T22" s="0" t="n">
        <f aca="false">0</f>
        <v>0</v>
      </c>
      <c r="U22" s="0" t="n">
        <f aca="false">0</f>
        <v>0</v>
      </c>
      <c r="V22" s="0" t="n">
        <f aca="false">0</f>
        <v>0</v>
      </c>
      <c r="W22" s="0" t="n">
        <f aca="false">0</f>
        <v>0</v>
      </c>
      <c r="X22" s="0" t="n">
        <f aca="false">0</f>
        <v>0</v>
      </c>
      <c r="Y22" s="0" t="n">
        <f aca="false">0</f>
        <v>0</v>
      </c>
      <c r="Z22" s="0" t="n">
        <f aca="false">0</f>
        <v>0</v>
      </c>
      <c r="AA22" s="0" t="n">
        <f aca="false">0</f>
        <v>0</v>
      </c>
      <c r="AB22" s="0" t="n">
        <f aca="false">0</f>
        <v>0</v>
      </c>
      <c r="AC22" s="0" t="n">
        <f aca="false">0</f>
        <v>0</v>
      </c>
      <c r="AD22" s="0" t="n">
        <f aca="false">0</f>
        <v>0</v>
      </c>
      <c r="AE22" s="0" t="n">
        <f aca="false">0</f>
        <v>0</v>
      </c>
      <c r="AF22" s="0" t="n">
        <f aca="false">0</f>
        <v>0</v>
      </c>
      <c r="AG22" s="0" t="n">
        <f aca="false">0</f>
        <v>0</v>
      </c>
      <c r="AH22" s="0" t="n">
        <f aca="false">0</f>
        <v>0</v>
      </c>
      <c r="AI22" s="0" t="n">
        <f aca="false">0</f>
        <v>0</v>
      </c>
      <c r="AJ22" s="0" t="n">
        <f aca="false">0</f>
        <v>0</v>
      </c>
      <c r="AK22" s="0" t="n">
        <f aca="false">0</f>
        <v>0</v>
      </c>
      <c r="AL22" s="0" t="n">
        <f aca="false">0</f>
        <v>0</v>
      </c>
      <c r="AM22" s="0" t="n">
        <f aca="false">0</f>
        <v>0</v>
      </c>
      <c r="AN22" s="0" t="n">
        <f aca="false">0</f>
        <v>0</v>
      </c>
      <c r="AO22" s="0" t="n">
        <f aca="false">0</f>
        <v>0</v>
      </c>
      <c r="AP22" s="0" t="n">
        <f aca="false">0</f>
        <v>0</v>
      </c>
      <c r="AQ22" s="0" t="n">
        <f aca="false">0</f>
        <v>0</v>
      </c>
      <c r="AR22" s="0" t="n">
        <f aca="false">0</f>
        <v>0</v>
      </c>
      <c r="AS22" s="0" t="n">
        <f aca="false">0</f>
        <v>0</v>
      </c>
      <c r="AT22" s="0" t="n">
        <f aca="false">0</f>
        <v>0</v>
      </c>
      <c r="AU22" s="0" t="n">
        <f aca="false">0</f>
        <v>0</v>
      </c>
      <c r="AV22" s="0" t="n">
        <f aca="false">0</f>
        <v>0</v>
      </c>
      <c r="AW22" s="0" t="n">
        <f aca="false">0</f>
        <v>0</v>
      </c>
      <c r="AX22" s="0" t="n">
        <f aca="false">0</f>
        <v>0</v>
      </c>
      <c r="AY22" s="0" t="n">
        <f aca="false">0</f>
        <v>0</v>
      </c>
      <c r="AZ22" s="0" t="n">
        <f aca="false">0</f>
        <v>0</v>
      </c>
      <c r="BA22" s="0" t="n">
        <f aca="false">0</f>
        <v>0</v>
      </c>
      <c r="BB22" s="0" t="n">
        <f aca="false">0</f>
        <v>0</v>
      </c>
      <c r="BC22" s="0" t="n">
        <f aca="false">0</f>
        <v>0</v>
      </c>
      <c r="BD22" s="0" t="n">
        <f aca="false">0</f>
        <v>0</v>
      </c>
      <c r="BE22" s="0" t="n">
        <f aca="false">0</f>
        <v>0</v>
      </c>
      <c r="BF22" s="0" t="n">
        <f aca="false">0</f>
        <v>0</v>
      </c>
      <c r="BG22" s="0" t="n">
        <f aca="false">0</f>
        <v>0</v>
      </c>
      <c r="BH22" s="0" t="n">
        <f aca="false">0</f>
        <v>0</v>
      </c>
      <c r="BI22" s="0" t="n">
        <f aca="false">0</f>
        <v>0</v>
      </c>
      <c r="BJ22" s="0" t="n">
        <f aca="false">0</f>
        <v>0</v>
      </c>
      <c r="BK22" s="0" t="n">
        <f aca="false">BK18/Assumptions!$E$28</f>
        <v>20793905.5864096</v>
      </c>
    </row>
    <row r="23" customFormat="false" ht="25" hidden="false" customHeight="true" outlineLevel="0" collapsed="false">
      <c r="A23" s="1"/>
      <c r="B23" s="1" t="s">
        <v>65</v>
      </c>
      <c r="C23" s="3" t="n">
        <f aca="false">(C22+0)*Assumptions!$E$29</f>
        <v>0</v>
      </c>
      <c r="D23" s="3" t="n">
        <f aca="false">(D22+0)*Assumptions!$E$29</f>
        <v>0</v>
      </c>
      <c r="E23" s="3" t="n">
        <f aca="false">(E22+0)*Assumptions!$E$29</f>
        <v>0</v>
      </c>
      <c r="F23" s="3" t="n">
        <f aca="false">(F22+0)*Assumptions!$E$29</f>
        <v>0</v>
      </c>
      <c r="G23" s="3" t="n">
        <f aca="false">(G22+0)*Assumptions!$E$29</f>
        <v>0</v>
      </c>
      <c r="H23" s="3" t="n">
        <f aca="false">(H22+0)*Assumptions!$E$29</f>
        <v>0</v>
      </c>
      <c r="I23" s="3" t="n">
        <f aca="false">(I22+0)*Assumptions!$E$29</f>
        <v>0</v>
      </c>
      <c r="J23" s="3" t="n">
        <f aca="false">(J22+0)*Assumptions!$E$29</f>
        <v>0</v>
      </c>
      <c r="K23" s="3" t="n">
        <f aca="false">(K22+0)*Assumptions!$E$29</f>
        <v>0</v>
      </c>
      <c r="L23" s="0" t="n">
        <f aca="false">(L22+0)*Assumptions!$E$29</f>
        <v>0</v>
      </c>
      <c r="M23" s="0" t="n">
        <f aca="false">(M22+0)*Assumptions!$E$29</f>
        <v>0</v>
      </c>
      <c r="N23" s="0" t="n">
        <f aca="false">(N22+0)*Assumptions!$E$29</f>
        <v>0</v>
      </c>
      <c r="O23" s="0" t="n">
        <f aca="false">(O22+0)*Assumptions!$E$29</f>
        <v>0</v>
      </c>
      <c r="P23" s="0" t="n">
        <f aca="false">(P22+0)*Assumptions!$E$29</f>
        <v>0</v>
      </c>
      <c r="Q23" s="0" t="n">
        <f aca="false">(Q22+0)*Assumptions!$E$29</f>
        <v>0</v>
      </c>
      <c r="R23" s="0" t="n">
        <f aca="false">(R22+0)*Assumptions!$E$29</f>
        <v>0</v>
      </c>
      <c r="S23" s="0" t="n">
        <f aca="false">(S22+0)*Assumptions!$E$29</f>
        <v>0</v>
      </c>
      <c r="T23" s="0" t="n">
        <f aca="false">(T22+0)*Assumptions!$E$29</f>
        <v>0</v>
      </c>
      <c r="U23" s="0" t="n">
        <f aca="false">(U22+0)*Assumptions!$E$29</f>
        <v>0</v>
      </c>
      <c r="V23" s="0" t="n">
        <f aca="false">(V22+0)*Assumptions!$E$29</f>
        <v>0</v>
      </c>
      <c r="W23" s="0" t="n">
        <f aca="false">(W22+0)*Assumptions!$E$29</f>
        <v>0</v>
      </c>
      <c r="X23" s="0" t="n">
        <f aca="false">(X22+0)*Assumptions!$E$29</f>
        <v>0</v>
      </c>
      <c r="Y23" s="0" t="n">
        <f aca="false">(Y22+0)*Assumptions!$E$29</f>
        <v>0</v>
      </c>
      <c r="Z23" s="0" t="n">
        <f aca="false">(Z22+0)*Assumptions!$E$29</f>
        <v>0</v>
      </c>
      <c r="AA23" s="0" t="n">
        <f aca="false">(AA22+0)*Assumptions!$E$29</f>
        <v>0</v>
      </c>
      <c r="AB23" s="0" t="n">
        <f aca="false">(AB22+0)*Assumptions!$E$29</f>
        <v>0</v>
      </c>
      <c r="AC23" s="0" t="n">
        <f aca="false">(AC22+0)*Assumptions!$E$29</f>
        <v>0</v>
      </c>
      <c r="AD23" s="0" t="n">
        <f aca="false">(AD22+0)*Assumptions!$E$29</f>
        <v>0</v>
      </c>
      <c r="AE23" s="0" t="n">
        <f aca="false">(AE22+0)*Assumptions!$E$29</f>
        <v>0</v>
      </c>
      <c r="AF23" s="0" t="n">
        <f aca="false">(AF22+0)*Assumptions!$E$29</f>
        <v>0</v>
      </c>
      <c r="AG23" s="0" t="n">
        <f aca="false">(AG22+0)*Assumptions!$E$29</f>
        <v>0</v>
      </c>
      <c r="AH23" s="0" t="n">
        <f aca="false">(AH22+0)*Assumptions!$E$29</f>
        <v>0</v>
      </c>
      <c r="AI23" s="0" t="n">
        <f aca="false">(AI22+0)*Assumptions!$E$29</f>
        <v>0</v>
      </c>
      <c r="AJ23" s="0" t="n">
        <f aca="false">(AJ22+0)*Assumptions!$E$29</f>
        <v>0</v>
      </c>
      <c r="AK23" s="0" t="n">
        <f aca="false">(AK22+0)*Assumptions!$E$29</f>
        <v>0</v>
      </c>
      <c r="AL23" s="0" t="n">
        <f aca="false">(AL22+0)*Assumptions!$E$29</f>
        <v>0</v>
      </c>
      <c r="AM23" s="0" t="n">
        <f aca="false">(AM22+0)*Assumptions!$E$29</f>
        <v>0</v>
      </c>
      <c r="AN23" s="0" t="n">
        <f aca="false">(AN22+0)*Assumptions!$E$29</f>
        <v>0</v>
      </c>
      <c r="AO23" s="0" t="n">
        <f aca="false">(AO22+0)*Assumptions!$E$29</f>
        <v>0</v>
      </c>
      <c r="AP23" s="0" t="n">
        <f aca="false">(AP22+0)*Assumptions!$E$29</f>
        <v>0</v>
      </c>
      <c r="AQ23" s="0" t="n">
        <f aca="false">(AQ22+0)*Assumptions!$E$29</f>
        <v>0</v>
      </c>
      <c r="AR23" s="0" t="n">
        <f aca="false">(AR22+0)*Assumptions!$E$29</f>
        <v>0</v>
      </c>
      <c r="AS23" s="0" t="n">
        <f aca="false">(AS22+0)*Assumptions!$E$29</f>
        <v>0</v>
      </c>
      <c r="AT23" s="0" t="n">
        <f aca="false">(AT22+0)*Assumptions!$E$29</f>
        <v>0</v>
      </c>
      <c r="AU23" s="0" t="n">
        <f aca="false">(AU22+0)*Assumptions!$E$29</f>
        <v>0</v>
      </c>
      <c r="AV23" s="0" t="n">
        <f aca="false">(AV22+0)*Assumptions!$E$29</f>
        <v>0</v>
      </c>
      <c r="AW23" s="0" t="n">
        <f aca="false">(AW22+0)*Assumptions!$E$29</f>
        <v>0</v>
      </c>
      <c r="AX23" s="0" t="n">
        <f aca="false">(AX22+0)*Assumptions!$E$29</f>
        <v>0</v>
      </c>
      <c r="AY23" s="0" t="n">
        <f aca="false">(AY22+0)*Assumptions!$E$29</f>
        <v>0</v>
      </c>
      <c r="AZ23" s="0" t="n">
        <f aca="false">(AZ22+0)*Assumptions!$E$29</f>
        <v>0</v>
      </c>
      <c r="BA23" s="0" t="n">
        <f aca="false">(BA22+0)*Assumptions!$E$29</f>
        <v>0</v>
      </c>
      <c r="BB23" s="0" t="n">
        <f aca="false">(BB22+0)*Assumptions!$E$29</f>
        <v>0</v>
      </c>
      <c r="BC23" s="0" t="n">
        <f aca="false">(BC22+0)*Assumptions!$E$29</f>
        <v>0</v>
      </c>
      <c r="BD23" s="0" t="n">
        <f aca="false">(BD22+0)*Assumptions!$E$29</f>
        <v>0</v>
      </c>
      <c r="BE23" s="0" t="n">
        <f aca="false">(BE22+0)*Assumptions!$E$29</f>
        <v>0</v>
      </c>
      <c r="BF23" s="0" t="n">
        <f aca="false">(BF22+0)*Assumptions!$E$29</f>
        <v>0</v>
      </c>
      <c r="BG23" s="0" t="n">
        <f aca="false">(BG22+0)*Assumptions!$E$29</f>
        <v>0</v>
      </c>
      <c r="BH23" s="0" t="n">
        <f aca="false">(BH22+0)*Assumptions!$E$29</f>
        <v>0</v>
      </c>
      <c r="BI23" s="0" t="n">
        <f aca="false">(BI22+0)*Assumptions!$E$29</f>
        <v>0</v>
      </c>
      <c r="BJ23" s="0" t="n">
        <f aca="false">(BJ22+0)*Assumptions!$E$29</f>
        <v>0</v>
      </c>
      <c r="BK23" s="0" t="n">
        <f aca="false">(BK22+0)*Assumptions!$E$29</f>
        <v>415878.111728193</v>
      </c>
    </row>
    <row r="24" customFormat="false" ht="25" hidden="false" customHeight="true" outlineLevel="0" collapsed="false">
      <c r="A24" s="1"/>
      <c r="B24" s="1" t="s">
        <v>66</v>
      </c>
      <c r="C24" s="3" t="n">
        <f aca="false">IF(C21&gt;0,C19+C10,0)</f>
        <v>0</v>
      </c>
      <c r="D24" s="3" t="n">
        <f aca="false">IF(D21&gt;0,D19+D10,0)</f>
        <v>0</v>
      </c>
      <c r="E24" s="3" t="n">
        <f aca="false">IF(E21&gt;0,E19+E10,0)</f>
        <v>0</v>
      </c>
      <c r="F24" s="3" t="n">
        <f aca="false">IF(F21&gt;0,F19+F10,0)</f>
        <v>0</v>
      </c>
      <c r="G24" s="3" t="n">
        <f aca="false">IF(G21&gt;0,G19+G10,0)</f>
        <v>0</v>
      </c>
      <c r="H24" s="3" t="n">
        <f aca="false">IF(H21&gt;0,H19+H10,0)</f>
        <v>0</v>
      </c>
      <c r="I24" s="3" t="n">
        <f aca="false">IF(I21&gt;0,I19+I10,0)</f>
        <v>0</v>
      </c>
      <c r="J24" s="3" t="n">
        <f aca="false">IF(J21&gt;0,J19+J10,0)</f>
        <v>0</v>
      </c>
      <c r="K24" s="3" t="n">
        <f aca="false">IF(K21&gt;0,K19+K10,0)</f>
        <v>0</v>
      </c>
      <c r="L24" s="0" t="n">
        <f aca="false">IF(L21&gt;0,L19+L10,0)</f>
        <v>0</v>
      </c>
      <c r="M24" s="0" t="n">
        <f aca="false">IF(M21&gt;0,M19+M10,0)</f>
        <v>0</v>
      </c>
      <c r="N24" s="0" t="n">
        <f aca="false">IF(N21&gt;0,N19+N10,0)</f>
        <v>0</v>
      </c>
      <c r="O24" s="0" t="n">
        <f aca="false">IF(O21&gt;0,O19+O10,0)</f>
        <v>0</v>
      </c>
      <c r="P24" s="0" t="n">
        <f aca="false">IF(P21&gt;0,P19+P10,0)</f>
        <v>0</v>
      </c>
      <c r="Q24" s="0" t="n">
        <f aca="false">IF(Q21&gt;0,Q19+Q10,0)</f>
        <v>0</v>
      </c>
      <c r="R24" s="0" t="n">
        <f aca="false">IF(R21&gt;0,R19+R10,0)</f>
        <v>0</v>
      </c>
      <c r="S24" s="0" t="n">
        <f aca="false">IF(S21&gt;0,S19+S10,0)</f>
        <v>0</v>
      </c>
      <c r="T24" s="0" t="n">
        <f aca="false">IF(T21&gt;0,T19+T10,0)</f>
        <v>0</v>
      </c>
      <c r="U24" s="0" t="n">
        <f aca="false">IF(U21&gt;0,U19+U10,0)</f>
        <v>0</v>
      </c>
      <c r="V24" s="0" t="n">
        <f aca="false">IF(V21&gt;0,V19+V10,0)</f>
        <v>0</v>
      </c>
      <c r="W24" s="0" t="n">
        <f aca="false">IF(W21&gt;0,W19+W10,0)</f>
        <v>0</v>
      </c>
      <c r="X24" s="0" t="n">
        <f aca="false">IF(X21&gt;0,X19+X10,0)</f>
        <v>0</v>
      </c>
      <c r="Y24" s="0" t="n">
        <f aca="false">IF(Y21&gt;0,Y19+Y10,0)</f>
        <v>0</v>
      </c>
      <c r="Z24" s="0" t="n">
        <f aca="false">IF(Z21&gt;0,Z19+Z10,0)</f>
        <v>0</v>
      </c>
      <c r="AA24" s="0" t="n">
        <f aca="false">IF(AA21&gt;0,AA19+AA10,0)</f>
        <v>0</v>
      </c>
      <c r="AB24" s="0" t="n">
        <f aca="false">IF(AB21&gt;0,AB19+AB10,0)</f>
        <v>0</v>
      </c>
      <c r="AC24" s="0" t="n">
        <f aca="false">IF(AC21&gt;0,AC19+AC10,0)</f>
        <v>0</v>
      </c>
      <c r="AD24" s="0" t="n">
        <f aca="false">IF(AD21&gt;0,AD19+AD10,0)</f>
        <v>0</v>
      </c>
      <c r="AE24" s="0" t="n">
        <f aca="false">IF(AE21&gt;0,AE19+AE10,0)</f>
        <v>0</v>
      </c>
      <c r="AF24" s="0" t="n">
        <f aca="false">IF(AF21&gt;0,AF19+AF10,0)</f>
        <v>0</v>
      </c>
      <c r="AG24" s="0" t="n">
        <f aca="false">IF(AG21&gt;0,AG19+AG10,0)</f>
        <v>0</v>
      </c>
      <c r="AH24" s="0" t="n">
        <f aca="false">IF(AH21&gt;0,AH19+AH10,0)</f>
        <v>0</v>
      </c>
      <c r="AI24" s="0" t="n">
        <f aca="false">IF(AI21&gt;0,AI19+AI10,0)</f>
        <v>0</v>
      </c>
      <c r="AJ24" s="0" t="n">
        <f aca="false">IF(AJ21&gt;0,AJ19+AJ10,0)</f>
        <v>0</v>
      </c>
      <c r="AK24" s="0" t="n">
        <f aca="false">IF(AK21&gt;0,AK19+AK10,0)</f>
        <v>0</v>
      </c>
      <c r="AL24" s="0" t="n">
        <f aca="false">IF(AL21&gt;0,AL19+AL10,0)</f>
        <v>0</v>
      </c>
      <c r="AM24" s="0" t="n">
        <f aca="false">IF(AM21&gt;0,AM19+AM10,0)</f>
        <v>0</v>
      </c>
      <c r="AN24" s="0" t="n">
        <f aca="false">IF(AN21&gt;0,AN19+AN10,0)</f>
        <v>0</v>
      </c>
      <c r="AO24" s="0" t="n">
        <f aca="false">IF(AO21&gt;0,AO19+AO10,0)</f>
        <v>0</v>
      </c>
      <c r="AP24" s="0" t="n">
        <f aca="false">IF(AP21&gt;0,AP19+AP10,0)</f>
        <v>0</v>
      </c>
      <c r="AQ24" s="0" t="n">
        <f aca="false">IF(AQ21&gt;0,AQ19+AQ10,0)</f>
        <v>0</v>
      </c>
      <c r="AR24" s="0" t="n">
        <f aca="false">IF(AR21&gt;0,AR19+AR10,0)</f>
        <v>0</v>
      </c>
      <c r="AS24" s="0" t="n">
        <f aca="false">IF(AS21&gt;0,AS19+AS10,0)</f>
        <v>11921000</v>
      </c>
      <c r="AT24" s="0" t="n">
        <f aca="false">IF(AT21&gt;0,AT19+AT10,0)</f>
        <v>0</v>
      </c>
      <c r="AU24" s="0" t="n">
        <f aca="false">IF(AU21&gt;0,AU19+AU10,0)</f>
        <v>0</v>
      </c>
      <c r="AV24" s="0" t="n">
        <f aca="false">IF(AV21&gt;0,AV19+AV10,0)</f>
        <v>0</v>
      </c>
      <c r="AW24" s="0" t="n">
        <f aca="false">IF(AW21&gt;0,AW19+AW10,0)</f>
        <v>0</v>
      </c>
      <c r="AX24" s="0" t="n">
        <f aca="false">IF(AX21&gt;0,AX19+AX10,0)</f>
        <v>0</v>
      </c>
      <c r="AY24" s="0" t="n">
        <f aca="false">IF(AY21&gt;0,AY19+AY10,0)</f>
        <v>0</v>
      </c>
      <c r="AZ24" s="0" t="n">
        <f aca="false">IF(AZ21&gt;0,AZ19+AZ10,0)</f>
        <v>0</v>
      </c>
      <c r="BA24" s="0" t="n">
        <f aca="false">IF(BA21&gt;0,BA19+BA10,0)</f>
        <v>0</v>
      </c>
      <c r="BB24" s="0" t="n">
        <f aca="false">IF(BB21&gt;0,BB19+BB10,0)</f>
        <v>0</v>
      </c>
      <c r="BC24" s="0" t="n">
        <f aca="false">IF(BC21&gt;0,BC19+BC10,0)</f>
        <v>0</v>
      </c>
      <c r="BD24" s="0" t="n">
        <f aca="false">IF(BD21&gt;0,BD19+BD10,0)</f>
        <v>0</v>
      </c>
      <c r="BE24" s="0" t="n">
        <f aca="false">IF(BE21&gt;0,BE19+BE10,0)</f>
        <v>0</v>
      </c>
      <c r="BF24" s="0" t="n">
        <f aca="false">IF(BF21&gt;0,BF19+BF10,0)</f>
        <v>0</v>
      </c>
      <c r="BG24" s="0" t="n">
        <f aca="false">IF(BG21&gt;0,BG19+BG10,0)</f>
        <v>0</v>
      </c>
      <c r="BH24" s="0" t="n">
        <f aca="false">IF(BH21&gt;0,BH19+BH10,0)</f>
        <v>0</v>
      </c>
      <c r="BI24" s="0" t="n">
        <f aca="false">IF(BI21&gt;0,BI19+BI10,0)</f>
        <v>0</v>
      </c>
      <c r="BJ24" s="0" t="n">
        <f aca="false">IF(BJ21&gt;0,BJ19+BJ10,0)</f>
        <v>0</v>
      </c>
      <c r="BK24" s="0" t="n">
        <f aca="false">IF(BK21&gt;0,BK19+BK10,0)</f>
        <v>0</v>
      </c>
    </row>
    <row r="25" customFormat="false" ht="25" hidden="false" customHeight="true" outlineLevel="0" collapsed="false">
      <c r="A25" s="1"/>
      <c r="B25" s="1" t="s">
        <v>67</v>
      </c>
      <c r="C25" s="3" t="n">
        <f aca="false">0</f>
        <v>0</v>
      </c>
      <c r="D25" s="3" t="n">
        <f aca="false">0</f>
        <v>0</v>
      </c>
      <c r="E25" s="3" t="n">
        <f aca="false">0</f>
        <v>0</v>
      </c>
      <c r="F25" s="3" t="n">
        <f aca="false">0</f>
        <v>0</v>
      </c>
      <c r="G25" s="3" t="n">
        <f aca="false">0</f>
        <v>0</v>
      </c>
      <c r="H25" s="3" t="n">
        <f aca="false">0</f>
        <v>0</v>
      </c>
      <c r="I25" s="3" t="n">
        <f aca="false">0</f>
        <v>0</v>
      </c>
      <c r="J25" s="3" t="n">
        <f aca="false">0</f>
        <v>0</v>
      </c>
      <c r="K25" s="3" t="n">
        <f aca="false">0</f>
        <v>0</v>
      </c>
      <c r="L25" s="0" t="n">
        <f aca="false">0</f>
        <v>0</v>
      </c>
      <c r="M25" s="0" t="n">
        <f aca="false">0</f>
        <v>0</v>
      </c>
      <c r="N25" s="0" t="n">
        <f aca="false">0</f>
        <v>0</v>
      </c>
      <c r="O25" s="0" t="n">
        <f aca="false">0</f>
        <v>0</v>
      </c>
      <c r="P25" s="0" t="n">
        <f aca="false">0</f>
        <v>0</v>
      </c>
      <c r="Q25" s="0" t="n">
        <f aca="false">0</f>
        <v>0</v>
      </c>
      <c r="R25" s="0" t="n">
        <f aca="false">0</f>
        <v>0</v>
      </c>
      <c r="S25" s="0" t="n">
        <f aca="false">0</f>
        <v>0</v>
      </c>
      <c r="T25" s="0" t="n">
        <f aca="false">0</f>
        <v>0</v>
      </c>
      <c r="U25" s="0" t="n">
        <f aca="false">0</f>
        <v>0</v>
      </c>
      <c r="V25" s="0" t="n">
        <f aca="false">0</f>
        <v>0</v>
      </c>
      <c r="W25" s="0" t="n">
        <f aca="false">0</f>
        <v>0</v>
      </c>
      <c r="X25" s="0" t="n">
        <f aca="false">0</f>
        <v>0</v>
      </c>
      <c r="Y25" s="0" t="n">
        <f aca="false">0</f>
        <v>0</v>
      </c>
      <c r="Z25" s="0" t="n">
        <f aca="false">0</f>
        <v>0</v>
      </c>
      <c r="AA25" s="0" t="n">
        <f aca="false">0</f>
        <v>0</v>
      </c>
      <c r="AB25" s="0" t="n">
        <f aca="false">0</f>
        <v>0</v>
      </c>
      <c r="AC25" s="0" t="n">
        <f aca="false">0</f>
        <v>0</v>
      </c>
      <c r="AD25" s="0" t="n">
        <f aca="false">0</f>
        <v>0</v>
      </c>
      <c r="AE25" s="0" t="n">
        <f aca="false">0</f>
        <v>0</v>
      </c>
      <c r="AF25" s="0" t="n">
        <f aca="false">0</f>
        <v>0</v>
      </c>
      <c r="AG25" s="0" t="n">
        <f aca="false">0</f>
        <v>0</v>
      </c>
      <c r="AH25" s="0" t="n">
        <f aca="false">0</f>
        <v>0</v>
      </c>
      <c r="AI25" s="0" t="n">
        <f aca="false">0</f>
        <v>0</v>
      </c>
      <c r="AJ25" s="0" t="n">
        <f aca="false">0</f>
        <v>0</v>
      </c>
      <c r="AK25" s="0" t="n">
        <f aca="false">0</f>
        <v>0</v>
      </c>
      <c r="AL25" s="0" t="n">
        <f aca="false">0</f>
        <v>0</v>
      </c>
      <c r="AM25" s="0" t="n">
        <f aca="false">0</f>
        <v>0</v>
      </c>
      <c r="AN25" s="0" t="n">
        <f aca="false">0</f>
        <v>0</v>
      </c>
      <c r="AO25" s="0" t="n">
        <f aca="false">0</f>
        <v>0</v>
      </c>
      <c r="AP25" s="0" t="n">
        <f aca="false">0</f>
        <v>0</v>
      </c>
      <c r="AQ25" s="0" t="n">
        <f aca="false">0</f>
        <v>0</v>
      </c>
      <c r="AR25" s="0" t="n">
        <f aca="false">0</f>
        <v>0</v>
      </c>
      <c r="AS25" s="0" t="n">
        <f aca="false">0</f>
        <v>0</v>
      </c>
      <c r="AT25" s="0" t="n">
        <f aca="false">0</f>
        <v>0</v>
      </c>
      <c r="AU25" s="0" t="n">
        <f aca="false">0</f>
        <v>0</v>
      </c>
      <c r="AV25" s="0" t="n">
        <f aca="false">0</f>
        <v>0</v>
      </c>
      <c r="AW25" s="0" t="n">
        <f aca="false">0</f>
        <v>0</v>
      </c>
      <c r="AX25" s="0" t="n">
        <f aca="false">0</f>
        <v>0</v>
      </c>
      <c r="AY25" s="0" t="n">
        <f aca="false">0</f>
        <v>0</v>
      </c>
      <c r="AZ25" s="0" t="n">
        <f aca="false">0</f>
        <v>0</v>
      </c>
      <c r="BA25" s="0" t="n">
        <f aca="false">0</f>
        <v>0</v>
      </c>
      <c r="BB25" s="0" t="n">
        <f aca="false">0</f>
        <v>0</v>
      </c>
      <c r="BC25" s="0" t="n">
        <f aca="false">0</f>
        <v>0</v>
      </c>
      <c r="BD25" s="0" t="n">
        <f aca="false">0</f>
        <v>0</v>
      </c>
      <c r="BE25" s="0" t="n">
        <f aca="false">0</f>
        <v>0</v>
      </c>
      <c r="BF25" s="0" t="n">
        <f aca="false">0</f>
        <v>0</v>
      </c>
      <c r="BG25" s="0" t="n">
        <f aca="false">0</f>
        <v>0</v>
      </c>
      <c r="BH25" s="0" t="n">
        <f aca="false">0</f>
        <v>0</v>
      </c>
      <c r="BI25" s="0" t="n">
        <f aca="false">0</f>
        <v>0</v>
      </c>
      <c r="BJ25" s="0" t="n">
        <f aca="false">0</f>
        <v>0</v>
      </c>
      <c r="BK25" s="0" t="n">
        <f aca="false">MAX(0,BK19+BK10-BK24+BK21)</f>
        <v>12022686.4259321</v>
      </c>
    </row>
    <row r="26" customFormat="false" ht="25" hidden="false" customHeight="true" outlineLevel="0" collapsed="false">
      <c r="A26" s="1"/>
      <c r="B26" s="1" t="s">
        <v>68</v>
      </c>
      <c r="C26" s="3" t="n">
        <f aca="false">0</f>
        <v>0</v>
      </c>
      <c r="D26" s="3" t="n">
        <f aca="false">0</f>
        <v>0</v>
      </c>
      <c r="E26" s="3" t="n">
        <f aca="false">0</f>
        <v>0</v>
      </c>
      <c r="F26" s="3" t="n">
        <f aca="false">0</f>
        <v>0</v>
      </c>
      <c r="G26" s="3" t="n">
        <f aca="false">0</f>
        <v>0</v>
      </c>
      <c r="H26" s="3" t="n">
        <f aca="false">0</f>
        <v>0</v>
      </c>
      <c r="I26" s="3" t="n">
        <f aca="false">0</f>
        <v>0</v>
      </c>
      <c r="J26" s="3" t="n">
        <f aca="false">0</f>
        <v>0</v>
      </c>
      <c r="K26" s="3" t="n">
        <f aca="false">0</f>
        <v>0</v>
      </c>
      <c r="L26" s="0" t="n">
        <f aca="false">0</f>
        <v>0</v>
      </c>
      <c r="M26" s="0" t="n">
        <f aca="false">0</f>
        <v>0</v>
      </c>
      <c r="N26" s="0" t="n">
        <f aca="false">0</f>
        <v>0</v>
      </c>
      <c r="O26" s="0" t="n">
        <f aca="false">0</f>
        <v>0</v>
      </c>
      <c r="P26" s="0" t="n">
        <f aca="false">0</f>
        <v>0</v>
      </c>
      <c r="Q26" s="0" t="n">
        <f aca="false">0</f>
        <v>0</v>
      </c>
      <c r="R26" s="0" t="n">
        <f aca="false">0</f>
        <v>0</v>
      </c>
      <c r="S26" s="0" t="n">
        <f aca="false">0</f>
        <v>0</v>
      </c>
      <c r="T26" s="0" t="n">
        <f aca="false">0</f>
        <v>0</v>
      </c>
      <c r="U26" s="0" t="n">
        <f aca="false">0</f>
        <v>0</v>
      </c>
      <c r="V26" s="0" t="n">
        <f aca="false">0</f>
        <v>0</v>
      </c>
      <c r="W26" s="0" t="n">
        <f aca="false">0</f>
        <v>0</v>
      </c>
      <c r="X26" s="0" t="n">
        <f aca="false">0</f>
        <v>0</v>
      </c>
      <c r="Y26" s="0" t="n">
        <f aca="false">0</f>
        <v>0</v>
      </c>
      <c r="Z26" s="0" t="n">
        <f aca="false">0</f>
        <v>0</v>
      </c>
      <c r="AA26" s="0" t="n">
        <f aca="false">0</f>
        <v>0</v>
      </c>
      <c r="AB26" s="0" t="n">
        <f aca="false">0</f>
        <v>0</v>
      </c>
      <c r="AC26" s="0" t="n">
        <f aca="false">0</f>
        <v>0</v>
      </c>
      <c r="AD26" s="0" t="n">
        <f aca="false">0</f>
        <v>0</v>
      </c>
      <c r="AE26" s="0" t="n">
        <f aca="false">0</f>
        <v>0</v>
      </c>
      <c r="AF26" s="0" t="n">
        <f aca="false">0</f>
        <v>0</v>
      </c>
      <c r="AG26" s="0" t="n">
        <f aca="false">0</f>
        <v>0</v>
      </c>
      <c r="AH26" s="0" t="n">
        <f aca="false">0</f>
        <v>0</v>
      </c>
      <c r="AI26" s="0" t="n">
        <f aca="false">0</f>
        <v>0</v>
      </c>
      <c r="AJ26" s="0" t="n">
        <f aca="false">0</f>
        <v>0</v>
      </c>
      <c r="AK26" s="0" t="n">
        <f aca="false">0</f>
        <v>0</v>
      </c>
      <c r="AL26" s="0" t="n">
        <f aca="false">0</f>
        <v>0</v>
      </c>
      <c r="AM26" s="0" t="n">
        <f aca="false">0</f>
        <v>0</v>
      </c>
      <c r="AN26" s="0" t="n">
        <f aca="false">0</f>
        <v>0</v>
      </c>
      <c r="AO26" s="0" t="n">
        <f aca="false">0</f>
        <v>0</v>
      </c>
      <c r="AP26" s="0" t="n">
        <f aca="false">0</f>
        <v>0</v>
      </c>
      <c r="AQ26" s="0" t="n">
        <f aca="false">0</f>
        <v>0</v>
      </c>
      <c r="AR26" s="0" t="n">
        <f aca="false">0</f>
        <v>0</v>
      </c>
      <c r="AS26" s="0" t="n">
        <f aca="false">0</f>
        <v>0</v>
      </c>
      <c r="AT26" s="0" t="n">
        <f aca="false">0</f>
        <v>0</v>
      </c>
      <c r="AU26" s="0" t="n">
        <f aca="false">0</f>
        <v>0</v>
      </c>
      <c r="AV26" s="0" t="n">
        <f aca="false">0</f>
        <v>0</v>
      </c>
      <c r="AW26" s="0" t="n">
        <f aca="false">0</f>
        <v>0</v>
      </c>
      <c r="AX26" s="0" t="n">
        <f aca="false">0</f>
        <v>0</v>
      </c>
      <c r="AY26" s="0" t="n">
        <f aca="false">0</f>
        <v>0</v>
      </c>
      <c r="AZ26" s="0" t="n">
        <f aca="false">0</f>
        <v>0</v>
      </c>
      <c r="BA26" s="0" t="n">
        <f aca="false">0</f>
        <v>0</v>
      </c>
      <c r="BB26" s="0" t="n">
        <f aca="false">0</f>
        <v>0</v>
      </c>
      <c r="BC26" s="0" t="n">
        <f aca="false">0</f>
        <v>0</v>
      </c>
      <c r="BD26" s="0" t="n">
        <f aca="false">0</f>
        <v>0</v>
      </c>
      <c r="BE26" s="0" t="n">
        <f aca="false">0</f>
        <v>0</v>
      </c>
      <c r="BF26" s="0" t="n">
        <f aca="false">0</f>
        <v>0</v>
      </c>
      <c r="BG26" s="0" t="n">
        <f aca="false">0</f>
        <v>0</v>
      </c>
      <c r="BH26" s="0" t="n">
        <f aca="false">0</f>
        <v>0</v>
      </c>
      <c r="BI26" s="0" t="n">
        <f aca="false">0</f>
        <v>0</v>
      </c>
      <c r="BJ26" s="0" t="n">
        <f aca="false">0</f>
        <v>0</v>
      </c>
      <c r="BK26" s="0" t="n">
        <f aca="false">MAX(0,BK19+BK10+BK21-BK24-BK25)</f>
        <v>0</v>
      </c>
    </row>
    <row r="27" customFormat="false" ht="25" hidden="false" customHeight="true" outlineLevel="0" collapsed="false">
      <c r="A27" s="1"/>
      <c r="B27" s="1" t="s">
        <v>69</v>
      </c>
      <c r="C27" s="3" t="n">
        <f aca="false">SUM(C19,C10,C21)-SUM(C24:C26)</f>
        <v>2756000</v>
      </c>
      <c r="D27" s="3" t="n">
        <f aca="false">SUM(D19,D10,D21)-SUM(D24:D26)</f>
        <v>3137875</v>
      </c>
      <c r="E27" s="3" t="n">
        <f aca="false">SUM(E19,E10,E21)-SUM(E24:E26)</f>
        <v>3519750</v>
      </c>
      <c r="F27" s="3" t="n">
        <f aca="false">SUM(F19,F10,F21)-SUM(F24:F26)</f>
        <v>3901625</v>
      </c>
      <c r="G27" s="3" t="n">
        <f aca="false">SUM(G19,G10,G21)-SUM(G24:G26)</f>
        <v>4283500</v>
      </c>
      <c r="H27" s="3" t="n">
        <f aca="false">SUM(H19,H10,H21)-SUM(H24:H26)</f>
        <v>4665375</v>
      </c>
      <c r="I27" s="3" t="n">
        <f aca="false">SUM(I19,I10,I21)-SUM(I24:I26)</f>
        <v>5047250</v>
      </c>
      <c r="J27" s="3" t="n">
        <f aca="false">SUM(J19,J10,J21)-SUM(J24:J26)</f>
        <v>5429125</v>
      </c>
      <c r="K27" s="3" t="n">
        <f aca="false">SUM(K19,K10,K21)-SUM(K24:K26)</f>
        <v>5811000</v>
      </c>
      <c r="L27" s="0" t="n">
        <f aca="false">SUM(L19,L10,L21)-SUM(L24:L26)</f>
        <v>6192875</v>
      </c>
      <c r="M27" s="0" t="n">
        <f aca="false">SUM(M19,M10,M21)-SUM(M24:M26)</f>
        <v>6574750</v>
      </c>
      <c r="N27" s="0" t="n">
        <f aca="false">SUM(N19,N10,N21)-SUM(N24:N26)</f>
        <v>6956625</v>
      </c>
      <c r="O27" s="0" t="n">
        <f aca="false">SUM(O19,O10,O21)-SUM(O24:O26)</f>
        <v>7338500</v>
      </c>
      <c r="P27" s="0" t="n">
        <f aca="false">SUM(P19,P10,P21)-SUM(P24:P26)</f>
        <v>7720375</v>
      </c>
      <c r="Q27" s="0" t="n">
        <f aca="false">SUM(Q19,Q10,Q21)-SUM(Q24:Q26)</f>
        <v>8102250</v>
      </c>
      <c r="R27" s="0" t="n">
        <f aca="false">SUM(R19,R10,R21)-SUM(R24:R26)</f>
        <v>8484125</v>
      </c>
      <c r="S27" s="0" t="n">
        <f aca="false">SUM(S19,S10,S21)-SUM(S24:S26)</f>
        <v>8866000</v>
      </c>
      <c r="T27" s="0" t="n">
        <f aca="false">SUM(T19,T10,T21)-SUM(T24:T26)</f>
        <v>9247875</v>
      </c>
      <c r="U27" s="0" t="n">
        <f aca="false">SUM(U19,U10,U21)-SUM(U24:U26)</f>
        <v>9629750</v>
      </c>
      <c r="V27" s="0" t="n">
        <f aca="false">SUM(V19,V10,V21)-SUM(V24:V26)</f>
        <v>10011625</v>
      </c>
      <c r="W27" s="0" t="n">
        <f aca="false">SUM(W19,W10,W21)-SUM(W24:W26)</f>
        <v>10393500</v>
      </c>
      <c r="X27" s="0" t="n">
        <f aca="false">SUM(X19,X10,X21)-SUM(X24:X26)</f>
        <v>10775375</v>
      </c>
      <c r="Y27" s="0" t="n">
        <f aca="false">SUM(Y19,Y10,Y21)-SUM(Y24:Y26)</f>
        <v>11157250</v>
      </c>
      <c r="Z27" s="0" t="n">
        <f aca="false">SUM(Z19,Z10,Z21)-SUM(Z24:Z26)</f>
        <v>11539125</v>
      </c>
      <c r="AA27" s="0" t="n">
        <f aca="false">SUM(AA19,AA10,AA21)-SUM(AA24:AA26)</f>
        <v>11921000</v>
      </c>
      <c r="AB27" s="0" t="n">
        <f aca="false">SUM(AB19,AB10,AB21)-SUM(AB24:AB26)</f>
        <v>11921000</v>
      </c>
      <c r="AC27" s="0" t="n">
        <f aca="false">SUM(AC19,AC10,AC21)-SUM(AC24:AC26)</f>
        <v>11921000</v>
      </c>
      <c r="AD27" s="0" t="n">
        <f aca="false">SUM(AD19,AD10,AD21)-SUM(AD24:AD26)</f>
        <v>11921000</v>
      </c>
      <c r="AE27" s="0" t="n">
        <f aca="false">SUM(AE19,AE10,AE21)-SUM(AE24:AE26)</f>
        <v>11921000</v>
      </c>
      <c r="AF27" s="0" t="n">
        <f aca="false">SUM(AF19,AF10,AF21)-SUM(AF24:AF26)</f>
        <v>11921000</v>
      </c>
      <c r="AG27" s="0" t="n">
        <f aca="false">SUM(AG19,AG10,AG21)-SUM(AG24:AG26)</f>
        <v>11921000</v>
      </c>
      <c r="AH27" s="0" t="n">
        <f aca="false">SUM(AH19,AH10,AH21)-SUM(AH24:AH26)</f>
        <v>11921000</v>
      </c>
      <c r="AI27" s="0" t="n">
        <f aca="false">SUM(AI19,AI10,AI21)-SUM(AI24:AI26)</f>
        <v>11921000</v>
      </c>
      <c r="AJ27" s="0" t="n">
        <f aca="false">SUM(AJ19,AJ10,AJ21)-SUM(AJ24:AJ26)</f>
        <v>11921000</v>
      </c>
      <c r="AK27" s="0" t="n">
        <f aca="false">SUM(AK19,AK10,AK21)-SUM(AK24:AK26)</f>
        <v>11921000</v>
      </c>
      <c r="AL27" s="0" t="n">
        <f aca="false">SUM(AL19,AL10,AL21)-SUM(AL24:AL26)</f>
        <v>11921000</v>
      </c>
      <c r="AM27" s="0" t="n">
        <f aca="false">SUM(AM19,AM10,AM21)-SUM(AM24:AM26)</f>
        <v>11921000</v>
      </c>
      <c r="AN27" s="0" t="n">
        <f aca="false">SUM(AN19,AN10,AN21)-SUM(AN24:AN26)</f>
        <v>11921000</v>
      </c>
      <c r="AO27" s="0" t="n">
        <f aca="false">SUM(AO19,AO10,AO21)-SUM(AO24:AO26)</f>
        <v>11921000</v>
      </c>
      <c r="AP27" s="0" t="n">
        <f aca="false">SUM(AP19,AP10,AP21)-SUM(AP24:AP26)</f>
        <v>11921000</v>
      </c>
      <c r="AQ27" s="0" t="n">
        <f aca="false">SUM(AQ19,AQ10,AQ21)-SUM(AQ24:AQ26)</f>
        <v>11921000</v>
      </c>
      <c r="AR27" s="0" t="n">
        <f aca="false">SUM(AR19,AR10,AR21)-SUM(AR24:AR26)</f>
        <v>11921000</v>
      </c>
      <c r="AS27" s="0" t="n">
        <f aca="false">SUM(AS19,AS10,AS21)-SUM(AS24:AS26)</f>
        <v>12022686.4259321</v>
      </c>
      <c r="AT27" s="0" t="n">
        <f aca="false">SUM(AT19,AT10,AT21)-SUM(AT24:AT26)</f>
        <v>12022686.4259321</v>
      </c>
      <c r="AU27" s="0" t="n">
        <f aca="false">SUM(AU19,AU10,AU21)-SUM(AU24:AU26)</f>
        <v>12022686.4259321</v>
      </c>
      <c r="AV27" s="0" t="n">
        <f aca="false">SUM(AV19,AV10,AV21)-SUM(AV24:AV26)</f>
        <v>12022686.4259321</v>
      </c>
      <c r="AW27" s="0" t="n">
        <f aca="false">SUM(AW19,AW10,AW21)-SUM(AW24:AW26)</f>
        <v>12022686.4259321</v>
      </c>
      <c r="AX27" s="0" t="n">
        <f aca="false">SUM(AX19,AX10,AX21)-SUM(AX24:AX26)</f>
        <v>12022686.4259321</v>
      </c>
      <c r="AY27" s="0" t="n">
        <f aca="false">SUM(AY19,AY10,AY21)-SUM(AY24:AY26)</f>
        <v>12022686.4259321</v>
      </c>
      <c r="AZ27" s="0" t="n">
        <f aca="false">SUM(AZ19,AZ10,AZ21)-SUM(AZ24:AZ26)</f>
        <v>12022686.4259321</v>
      </c>
      <c r="BA27" s="0" t="n">
        <f aca="false">SUM(BA19,BA10,BA21)-SUM(BA24:BA26)</f>
        <v>12022686.4259321</v>
      </c>
      <c r="BB27" s="0" t="n">
        <f aca="false">SUM(BB19,BB10,BB21)-SUM(BB24:BB26)</f>
        <v>12022686.4259321</v>
      </c>
      <c r="BC27" s="0" t="n">
        <f aca="false">SUM(BC19,BC10,BC21)-SUM(BC24:BC26)</f>
        <v>12022686.4259321</v>
      </c>
      <c r="BD27" s="0" t="n">
        <f aca="false">SUM(BD19,BD10,BD21)-SUM(BD24:BD26)</f>
        <v>12022686.4259321</v>
      </c>
      <c r="BE27" s="0" t="n">
        <f aca="false">SUM(BE19,BE10,BE21)-SUM(BE24:BE26)</f>
        <v>12022686.4259321</v>
      </c>
      <c r="BF27" s="0" t="n">
        <f aca="false">SUM(BF19,BF10,BF21)-SUM(BF24:BF26)</f>
        <v>12022686.4259321</v>
      </c>
      <c r="BG27" s="0" t="n">
        <f aca="false">SUM(BG19,BG10,BG21)-SUM(BG24:BG26)</f>
        <v>12022686.4259321</v>
      </c>
      <c r="BH27" s="0" t="n">
        <f aca="false">SUM(BH19,BH10,BH21)-SUM(BH24:BH26)</f>
        <v>12022686.4259321</v>
      </c>
      <c r="BI27" s="0" t="n">
        <f aca="false">SUM(BI19,BI10,BI21)-SUM(BI24:BI26)</f>
        <v>12022686.4259321</v>
      </c>
      <c r="BJ27" s="0" t="n">
        <f aca="false">SUM(BJ19,BJ10,BJ21)-SUM(BJ24:BJ26)</f>
        <v>12022686.4259321</v>
      </c>
      <c r="BK27" s="0" t="n">
        <f aca="false">SUM(BK19,BK10,BK21)-SUM(BK24:BK26)</f>
        <v>0</v>
      </c>
    </row>
    <row r="28" customFormat="false" ht="25" hidden="false" customHeight="true" outlineLevel="0" collapsed="false">
      <c r="A28" s="1"/>
      <c r="B28" s="1" t="s">
        <v>70</v>
      </c>
      <c r="C28" s="3" t="n">
        <f aca="false">SUM(C16,C10,C21,C22)-SUM(C9,C17,C20,C23:C26)</f>
        <v>-1484000</v>
      </c>
      <c r="D28" s="3" t="n">
        <f aca="false">SUM(D16,D10,D21,D22)-SUM(D9,D17,D20,D23:D26)</f>
        <v>-221587.578125</v>
      </c>
      <c r="E28" s="3" t="n">
        <f aca="false">SUM(E16,E10,E21,E22)-SUM(E9,E17,E20,E23:E26)</f>
        <v>-223656.067708333</v>
      </c>
      <c r="F28" s="3" t="n">
        <f aca="false">SUM(F16,F10,F21,F22)-SUM(F9,F17,F20,F23:F26)</f>
        <v>-225724.557291667</v>
      </c>
      <c r="G28" s="3" t="n">
        <f aca="false">SUM(G16,G10,G21,G22)-SUM(G9,G17,G20,G23:G26)</f>
        <v>-227793.046875</v>
      </c>
      <c r="H28" s="3" t="n">
        <f aca="false">SUM(H16,H10,H21,H22)-SUM(H9,H17,H20,H23:H26)</f>
        <v>-229861.536458333</v>
      </c>
      <c r="I28" s="3" t="n">
        <f aca="false">SUM(I16,I10,I21,I22)-SUM(I9,I17,I20,I23:I26)</f>
        <v>-231930.026041667</v>
      </c>
      <c r="J28" s="3" t="n">
        <f aca="false">SUM(J16,J10,J21,J22)-SUM(J9,J17,J20,J23:J26)</f>
        <v>-233998.515625</v>
      </c>
      <c r="K28" s="3" t="n">
        <f aca="false">SUM(K16,K10,K21,K22)-SUM(K9,K17,K20,K23:K26)</f>
        <v>-236067.005208333</v>
      </c>
      <c r="L28" s="0" t="n">
        <f aca="false">SUM(L16,L10,L21,L22)-SUM(L9,L17,L20,L23:L26)</f>
        <v>-238135.494791667</v>
      </c>
      <c r="M28" s="0" t="n">
        <f aca="false">SUM(M16,M10,M21,M22)-SUM(M9,M17,M20,M23:M26)</f>
        <v>-240203.984375</v>
      </c>
      <c r="N28" s="0" t="n">
        <f aca="false">SUM(N16,N10,N21,N22)-SUM(N9,N17,N20,N23:N26)</f>
        <v>-242272.473958333</v>
      </c>
      <c r="O28" s="0" t="n">
        <f aca="false">SUM(O16,O10,O21,O22)-SUM(O9,O17,O20,O23:O26)</f>
        <v>-244340.963541667</v>
      </c>
      <c r="P28" s="0" t="n">
        <f aca="false">SUM(P16,P10,P21,P22)-SUM(P9,P17,P20,P23:P26)</f>
        <v>-246409.453125</v>
      </c>
      <c r="Q28" s="0" t="n">
        <f aca="false">SUM(Q16,Q10,Q21,Q22)-SUM(Q9,Q17,Q20,Q23:Q26)</f>
        <v>-248477.942708333</v>
      </c>
      <c r="R28" s="0" t="n">
        <f aca="false">SUM(R16,R10,R21,R22)-SUM(R9,R17,R20,R23:R26)</f>
        <v>-250546.432291667</v>
      </c>
      <c r="S28" s="0" t="n">
        <f aca="false">SUM(S16,S10,S21,S22)-SUM(S9,S17,S20,S23:S26)</f>
        <v>-252614.921875</v>
      </c>
      <c r="T28" s="0" t="n">
        <f aca="false">SUM(T16,T10,T21,T22)-SUM(T9,T17,T20,T23:T26)</f>
        <v>-254683.411458333</v>
      </c>
      <c r="U28" s="0" t="n">
        <f aca="false">SUM(U16,U10,U21,U22)-SUM(U9,U17,U20,U23:U26)</f>
        <v>-256751.901041667</v>
      </c>
      <c r="V28" s="0" t="n">
        <f aca="false">SUM(V16,V10,V21,V22)-SUM(V9,V17,V20,V23:V26)</f>
        <v>-258820.390625</v>
      </c>
      <c r="W28" s="0" t="n">
        <f aca="false">SUM(W16,W10,W21,W22)-SUM(W9,W17,W20,W23:W26)</f>
        <v>-260888.880208333</v>
      </c>
      <c r="X28" s="0" t="n">
        <f aca="false">SUM(X16,X10,X21,X22)-SUM(X9,X17,X20,X23:X26)</f>
        <v>-262957.369791667</v>
      </c>
      <c r="Y28" s="0" t="n">
        <f aca="false">SUM(Y16,Y10,Y21,Y22)-SUM(Y9,Y17,Y20,Y23:Y26)</f>
        <v>-265025.859375</v>
      </c>
      <c r="Z28" s="0" t="n">
        <f aca="false">SUM(Z16,Z10,Z21,Z22)-SUM(Z9,Z17,Z20,Z23:Z26)</f>
        <v>-267094.348958333</v>
      </c>
      <c r="AA28" s="0" t="n">
        <f aca="false">SUM(AA16,AA10,AA21,AA22)-SUM(AA9,AA17,AA20,AA23:AA26)</f>
        <v>-269162.838541667</v>
      </c>
      <c r="AB28" s="0" t="n">
        <f aca="false">SUM(AB16,AB10,AB21,AB22)-SUM(AB9,AB17,AB20,AB23:AB26)</f>
        <v>-57067.4164270833</v>
      </c>
      <c r="AC28" s="0" t="n">
        <f aca="false">SUM(AC16,AC10,AC21,AC22)-SUM(AC9,AC17,AC20,AC23:AC26)</f>
        <v>-49531.8327506602</v>
      </c>
      <c r="AD28" s="0" t="n">
        <f aca="false">SUM(AD16,AD10,AD21,AD22)-SUM(AD9,AD17,AD20,AD23:AD26)</f>
        <v>-41965.236778837</v>
      </c>
      <c r="AE28" s="0" t="n">
        <f aca="false">SUM(AE16,AE10,AE21,AE22)-SUM(AE9,AE17,AE20,AE23:AE26)</f>
        <v>-34367.5327240319</v>
      </c>
      <c r="AF28" s="0" t="n">
        <f aca="false">SUM(AF16,AF10,AF21,AF22)-SUM(AF9,AF17,AF20,AF23:AF26)</f>
        <v>-26738.6245356324</v>
      </c>
      <c r="AG28" s="0" t="n">
        <f aca="false">SUM(AG16,AG10,AG21,AG22)-SUM(AG9,AG17,AG20,AG23:AG26)</f>
        <v>-19078.4158993181</v>
      </c>
      <c r="AH28" s="0" t="n">
        <f aca="false">SUM(AH16,AH10,AH21,AH22)-SUM(AH9,AH17,AH20,AH23:AH26)</f>
        <v>-11386.810236382</v>
      </c>
      <c r="AI28" s="0" t="n">
        <f aca="false">SUM(AI16,AI10,AI21,AI22)-SUM(AI9,AI17,AI20,AI23:AI26)</f>
        <v>-3663.71070305002</v>
      </c>
      <c r="AJ28" s="0" t="n">
        <f aca="false">SUM(AJ16,AJ10,AJ21,AJ22)-SUM(AJ9,AJ17,AJ20,AJ23:AJ26)</f>
        <v>4090.97981020149</v>
      </c>
      <c r="AK28" s="0" t="n">
        <f aca="false">SUM(AK16,AK10,AK21,AK22)-SUM(AK9,AK17,AK20,AK23:AK26)</f>
        <v>11877.3586793293</v>
      </c>
      <c r="AL28" s="0" t="n">
        <f aca="false">SUM(AL16,AL10,AL21,AL22)-SUM(AL9,AL17,AL20,AL23:AL26)</f>
        <v>19695.5235474092</v>
      </c>
      <c r="AM28" s="0" t="n">
        <f aca="false">SUM(AM16,AM10,AM21,AM22)-SUM(AM9,AM17,AM20,AM23:AM26)</f>
        <v>27545.5723253231</v>
      </c>
      <c r="AN28" s="0" t="n">
        <f aca="false">SUM(AN16,AN10,AN21,AN22)-SUM(AN9,AN17,AN20,AN23:AN26)</f>
        <v>27735.3196135416</v>
      </c>
      <c r="AO28" s="0" t="n">
        <f aca="false">SUM(AO16,AO10,AO21,AO22)-SUM(AO9,AO17,AO20,AO23:AO26)</f>
        <v>27925.4577501066</v>
      </c>
      <c r="AP28" s="0" t="n">
        <f aca="false">SUM(AP16,AP10,AP21,AP22)-SUM(AP9,AP17,AP20,AP23:AP26)</f>
        <v>28115.9875401016</v>
      </c>
      <c r="AQ28" s="0" t="n">
        <f aca="false">SUM(AQ16,AQ10,AQ21,AQ22)-SUM(AQ9,AQ17,AQ20,AQ23:AQ26)</f>
        <v>28306.9097902684</v>
      </c>
      <c r="AR28" s="0" t="n">
        <f aca="false">SUM(AR16,AR10,AR21,AR22)-SUM(AR9,AR17,AR20,AR23:AR26)</f>
        <v>28498.2253090109</v>
      </c>
      <c r="AS28" s="0" t="n">
        <f aca="false">SUM(AS16,AS10,AS21,AS22)-SUM(AS9,AS17,AS20,AS23:AS26)</f>
        <v>130376.360838519</v>
      </c>
      <c r="AT28" s="0" t="n">
        <f aca="false">SUM(AT16,AT10,AT21,AT22)-SUM(AT9,AT17,AT20,AT23:AT26)</f>
        <v>38350.1432753113</v>
      </c>
      <c r="AU28" s="0" t="n">
        <f aca="false">SUM(AU16,AU10,AU21,AU22)-SUM(AU9,AU17,AU20,AU23:AU26)</f>
        <v>38542.6434668717</v>
      </c>
      <c r="AV28" s="0" t="n">
        <f aca="false">SUM(AV16,AV10,AV21,AV22)-SUM(AV9,AV17,AV20,AV23:AV26)</f>
        <v>38735.5401773087</v>
      </c>
      <c r="AW28" s="0" t="n">
        <f aca="false">SUM(AW16,AW10,AW21,AW22)-SUM(AW9,AW17,AW20,AW23:AW26)</f>
        <v>38928.8342233862</v>
      </c>
      <c r="AX28" s="0" t="n">
        <f aca="false">SUM(AX16,AX10,AX21,AX22)-SUM(AX9,AX17,AX20,AX23:AX26)</f>
        <v>39122.5264235505</v>
      </c>
      <c r="AY28" s="0" t="n">
        <f aca="false">SUM(AY16,AY10,AY21,AY22)-SUM(AY9,AY17,AY20,AY23:AY26)</f>
        <v>39316.6175979339</v>
      </c>
      <c r="AZ28" s="0" t="n">
        <f aca="false">SUM(AZ16,AZ10,AZ21,AZ22)-SUM(AZ9,AZ17,AZ20,AZ23:AZ26)</f>
        <v>39511.1085683579</v>
      </c>
      <c r="BA28" s="0" t="n">
        <f aca="false">SUM(BA16,BA10,BA21,BA22)-SUM(BA9,BA17,BA20,BA23:BA26)</f>
        <v>39706.000158337</v>
      </c>
      <c r="BB28" s="0" t="n">
        <f aca="false">SUM(BB16,BB10,BB21,BB22)-SUM(BB9,BB17,BB20,BB23:BB26)</f>
        <v>39901.2931930818</v>
      </c>
      <c r="BC28" s="0" t="n">
        <f aca="false">SUM(BC16,BC10,BC21,BC22)-SUM(BC9,BC17,BC20,BC23:BC26)</f>
        <v>40096.9884995029</v>
      </c>
      <c r="BD28" s="0" t="n">
        <f aca="false">SUM(BD16,BD10,BD21,BD22)-SUM(BD9,BD17,BD20,BD23:BD26)</f>
        <v>40293.0869062139</v>
      </c>
      <c r="BE28" s="0" t="n">
        <f aca="false">SUM(BE16,BE10,BE21,BE22)-SUM(BE9,BE17,BE20,BE23:BE26)</f>
        <v>40489.5892435356</v>
      </c>
      <c r="BF28" s="0" t="n">
        <f aca="false">SUM(BF16,BF10,BF21,BF22)-SUM(BF9,BF17,BF20,BF23:BF26)</f>
        <v>40686.4963434988</v>
      </c>
      <c r="BG28" s="0" t="n">
        <f aca="false">SUM(BG16,BG10,BG21,BG22)-SUM(BG9,BG17,BG20,BG23:BG26)</f>
        <v>40883.8090398482</v>
      </c>
      <c r="BH28" s="0" t="n">
        <f aca="false">SUM(BH16,BH10,BH21,BH22)-SUM(BH9,BH17,BH20,BH23:BH26)</f>
        <v>41081.5281680461</v>
      </c>
      <c r="BI28" s="0" t="n">
        <f aca="false">SUM(BI16,BI10,BI21,BI22)-SUM(BI9,BI17,BI20,BI23:BI26)</f>
        <v>41279.6545652755</v>
      </c>
      <c r="BJ28" s="0" t="n">
        <f aca="false">SUM(BJ16,BJ10,BJ21,BJ22)-SUM(BJ9,BJ17,BJ20,BJ23:BJ26)</f>
        <v>41478.1890704439</v>
      </c>
      <c r="BK28" s="0" t="n">
        <f aca="false">SUM(BK16,BK10,BK21,BK22)-SUM(BK9,BK17,BK20,BK23:BK26)</f>
        <v>8397018.18127351</v>
      </c>
    </row>
    <row r="29" customFormat="false" ht="25" hidden="false" customHeight="true" outlineLevel="0" collapsed="false">
      <c r="A29" s="1"/>
      <c r="B29" s="1" t="s">
        <v>71</v>
      </c>
      <c r="C29" s="3" t="n">
        <f aca="false">SUM(C16,C22)-SUM(C9,C17,C23)</f>
        <v>-4240000</v>
      </c>
      <c r="D29" s="3" t="n">
        <f aca="false">SUM(D16,D22)-SUM(D9,D17,D23)</f>
        <v>-587500</v>
      </c>
      <c r="E29" s="3" t="n">
        <f aca="false">SUM(E16,E22)-SUM(E9,E17,E23)</f>
        <v>-587500</v>
      </c>
      <c r="F29" s="3" t="n">
        <f aca="false">SUM(F16,F22)-SUM(F9,F17,F23)</f>
        <v>-587500</v>
      </c>
      <c r="G29" s="3" t="n">
        <f aca="false">SUM(G16,G22)-SUM(G9,G17,G23)</f>
        <v>-587500</v>
      </c>
      <c r="H29" s="3" t="n">
        <f aca="false">SUM(H16,H22)-SUM(H9,H17,H23)</f>
        <v>-587500</v>
      </c>
      <c r="I29" s="3" t="n">
        <f aca="false">SUM(I16,I22)-SUM(I9,I17,I23)</f>
        <v>-587500</v>
      </c>
      <c r="J29" s="3" t="n">
        <f aca="false">SUM(J16,J22)-SUM(J9,J17,J23)</f>
        <v>-587500</v>
      </c>
      <c r="K29" s="3" t="n">
        <f aca="false">SUM(K16,K22)-SUM(K9,K17,K23)</f>
        <v>-587500</v>
      </c>
      <c r="L29" s="0" t="n">
        <f aca="false">SUM(L16,L22)-SUM(L9,L17,L23)</f>
        <v>-587500</v>
      </c>
      <c r="M29" s="0" t="n">
        <f aca="false">SUM(M16,M22)-SUM(M9,M17,M23)</f>
        <v>-587500</v>
      </c>
      <c r="N29" s="0" t="n">
        <f aca="false">SUM(N16,N22)-SUM(N9,N17,N23)</f>
        <v>-587500</v>
      </c>
      <c r="O29" s="0" t="n">
        <f aca="false">SUM(O16,O22)-SUM(O9,O17,O23)</f>
        <v>-587500</v>
      </c>
      <c r="P29" s="0" t="n">
        <f aca="false">SUM(P16,P22)-SUM(P9,P17,P23)</f>
        <v>-587500</v>
      </c>
      <c r="Q29" s="0" t="n">
        <f aca="false">SUM(Q16,Q22)-SUM(Q9,Q17,Q23)</f>
        <v>-587500</v>
      </c>
      <c r="R29" s="0" t="n">
        <f aca="false">SUM(R16,R22)-SUM(R9,R17,R23)</f>
        <v>-587500</v>
      </c>
      <c r="S29" s="0" t="n">
        <f aca="false">SUM(S16,S22)-SUM(S9,S17,S23)</f>
        <v>-587500</v>
      </c>
      <c r="T29" s="0" t="n">
        <f aca="false">SUM(T16,T22)-SUM(T9,T17,T23)</f>
        <v>-587500</v>
      </c>
      <c r="U29" s="0" t="n">
        <f aca="false">SUM(U16,U22)-SUM(U9,U17,U23)</f>
        <v>-587500</v>
      </c>
      <c r="V29" s="0" t="n">
        <f aca="false">SUM(V16,V22)-SUM(V9,V17,V23)</f>
        <v>-587500</v>
      </c>
      <c r="W29" s="0" t="n">
        <f aca="false">SUM(W16,W22)-SUM(W9,W17,W23)</f>
        <v>-587500</v>
      </c>
      <c r="X29" s="0" t="n">
        <f aca="false">SUM(X16,X22)-SUM(X9,X17,X23)</f>
        <v>-587500</v>
      </c>
      <c r="Y29" s="0" t="n">
        <f aca="false">SUM(Y16,Y22)-SUM(Y9,Y17,Y23)</f>
        <v>-587500</v>
      </c>
      <c r="Z29" s="0" t="n">
        <f aca="false">SUM(Z16,Z22)-SUM(Z9,Z17,Z23)</f>
        <v>-587500</v>
      </c>
      <c r="AA29" s="0" t="n">
        <f aca="false">SUM(AA16,AA22)-SUM(AA9,AA17,AA23)</f>
        <v>-587500</v>
      </c>
      <c r="AB29" s="0" t="n">
        <f aca="false">SUM(AB16,AB22)-SUM(AB9,AB17,AB23)</f>
        <v>7504.66690625</v>
      </c>
      <c r="AC29" s="0" t="n">
        <f aca="false">SUM(AC16,AC22)-SUM(AC9,AC17,AC23)</f>
        <v>15040.2505826732</v>
      </c>
      <c r="AD29" s="0" t="n">
        <f aca="false">SUM(AD16,AD22)-SUM(AD9,AD17,AD23)</f>
        <v>22606.8465544963</v>
      </c>
      <c r="AE29" s="0" t="n">
        <f aca="false">SUM(AE16,AE22)-SUM(AE9,AE17,AE23)</f>
        <v>30204.5506093014</v>
      </c>
      <c r="AF29" s="0" t="n">
        <f aca="false">SUM(AF16,AF22)-SUM(AF9,AF17,AF23)</f>
        <v>37833.4587977009</v>
      </c>
      <c r="AG29" s="0" t="n">
        <f aca="false">SUM(AG16,AG22)-SUM(AG9,AG17,AG23)</f>
        <v>45493.6674340152</v>
      </c>
      <c r="AH29" s="0" t="n">
        <f aca="false">SUM(AH16,AH22)-SUM(AH9,AH17,AH23)</f>
        <v>53185.2730969513</v>
      </c>
      <c r="AI29" s="0" t="n">
        <f aca="false">SUM(AI16,AI22)-SUM(AI9,AI17,AI23)</f>
        <v>60908.3726302833</v>
      </c>
      <c r="AJ29" s="0" t="n">
        <f aca="false">SUM(AJ16,AJ22)-SUM(AJ9,AJ17,AJ23)</f>
        <v>68663.0631435348</v>
      </c>
      <c r="AK29" s="0" t="n">
        <f aca="false">SUM(AK16,AK22)-SUM(AK9,AK17,AK23)</f>
        <v>76449.4420126626</v>
      </c>
      <c r="AL29" s="0" t="n">
        <f aca="false">SUM(AL16,AL22)-SUM(AL9,AL17,AL23)</f>
        <v>84267.6068807426</v>
      </c>
      <c r="AM29" s="0" t="n">
        <f aca="false">SUM(AM16,AM22)-SUM(AM9,AM17,AM23)</f>
        <v>92117.6556586564</v>
      </c>
      <c r="AN29" s="0" t="n">
        <f aca="false">SUM(AN16,AN22)-SUM(AN9,AN17,AN23)</f>
        <v>92307.402946875</v>
      </c>
      <c r="AO29" s="0" t="n">
        <f aca="false">SUM(AO16,AO22)-SUM(AO9,AO17,AO23)</f>
        <v>92497.54108344</v>
      </c>
      <c r="AP29" s="0" t="n">
        <f aca="false">SUM(AP16,AP22)-SUM(AP9,AP17,AP23)</f>
        <v>92688.0708734349</v>
      </c>
      <c r="AQ29" s="0" t="n">
        <f aca="false">SUM(AQ16,AQ22)-SUM(AQ9,AQ17,AQ23)</f>
        <v>92878.9931236018</v>
      </c>
      <c r="AR29" s="0" t="n">
        <f aca="false">SUM(AR16,AR22)-SUM(AR9,AR17,AR23)</f>
        <v>93070.3086423442</v>
      </c>
      <c r="AS29" s="0" t="n">
        <f aca="false">SUM(AS16,AS22)-SUM(AS9,AS17,AS23)</f>
        <v>93262.0182397312</v>
      </c>
      <c r="AT29" s="0" t="n">
        <f aca="false">SUM(AT16,AT22)-SUM(AT9,AT17,AT23)</f>
        <v>93454.1227275002</v>
      </c>
      <c r="AU29" s="0" t="n">
        <f aca="false">SUM(AU16,AU22)-SUM(AU9,AU17,AU23)</f>
        <v>93646.6229190606</v>
      </c>
      <c r="AV29" s="0" t="n">
        <f aca="false">SUM(AV16,AV22)-SUM(AV9,AV17,AV23)</f>
        <v>93839.5196294976</v>
      </c>
      <c r="AW29" s="0" t="n">
        <f aca="false">SUM(AW16,AW22)-SUM(AW9,AW17,AW23)</f>
        <v>94032.8136755751</v>
      </c>
      <c r="AX29" s="0" t="n">
        <f aca="false">SUM(AX16,AX22)-SUM(AX9,AX17,AX23)</f>
        <v>94226.5058757394</v>
      </c>
      <c r="AY29" s="0" t="n">
        <f aca="false">SUM(AY16,AY22)-SUM(AY9,AY17,AY23)</f>
        <v>94420.5970501228</v>
      </c>
      <c r="AZ29" s="0" t="n">
        <f aca="false">SUM(AZ16,AZ22)-SUM(AZ9,AZ17,AZ23)</f>
        <v>94615.0880205468</v>
      </c>
      <c r="BA29" s="0" t="n">
        <f aca="false">SUM(BA16,BA22)-SUM(BA9,BA17,BA23)</f>
        <v>94809.9796105259</v>
      </c>
      <c r="BB29" s="0" t="n">
        <f aca="false">SUM(BB16,BB22)-SUM(BB9,BB17,BB23)</f>
        <v>95005.2726452707</v>
      </c>
      <c r="BC29" s="0" t="n">
        <f aca="false">SUM(BC16,BC22)-SUM(BC9,BC17,BC23)</f>
        <v>95200.9679516918</v>
      </c>
      <c r="BD29" s="0" t="n">
        <f aca="false">SUM(BD16,BD22)-SUM(BD9,BD17,BD23)</f>
        <v>95397.0663584028</v>
      </c>
      <c r="BE29" s="0" t="n">
        <f aca="false">SUM(BE16,BE22)-SUM(BE9,BE17,BE23)</f>
        <v>95593.5686957245</v>
      </c>
      <c r="BF29" s="0" t="n">
        <f aca="false">SUM(BF16,BF22)-SUM(BF9,BF17,BF23)</f>
        <v>95790.4757956877</v>
      </c>
      <c r="BG29" s="0" t="n">
        <f aca="false">SUM(BG16,BG22)-SUM(BG9,BG17,BG23)</f>
        <v>95987.7884920371</v>
      </c>
      <c r="BH29" s="0" t="n">
        <f aca="false">SUM(BH16,BH22)-SUM(BH9,BH17,BH23)</f>
        <v>96185.507620235</v>
      </c>
      <c r="BI29" s="0" t="n">
        <f aca="false">SUM(BI16,BI22)-SUM(BI9,BI17,BI23)</f>
        <v>96383.6340174644</v>
      </c>
      <c r="BJ29" s="0" t="n">
        <f aca="false">SUM(BJ16,BJ22)-SUM(BJ9,BJ17,BJ23)</f>
        <v>96582.1685226328</v>
      </c>
      <c r="BK29" s="0" t="n">
        <f aca="false">SUM(BK16,BK22)-SUM(BK9,BK17,BK23)</f>
        <v>20474808.5866578</v>
      </c>
    </row>
    <row r="30" customFormat="false" ht="25" hidden="false" customHeight="true" outlineLevel="0" collapsed="false">
      <c r="A30" s="1"/>
      <c r="B30" s="1" t="s">
        <v>72</v>
      </c>
      <c r="C30" s="3" t="n">
        <f aca="false">C28/(1+Assumptions!$E$30)^(C$6/12)</f>
        <v>-1484000</v>
      </c>
      <c r="D30" s="3" t="n">
        <f aca="false">D28/(1+Assumptions!$E$30)^(D$6/12)</f>
        <v>-219504.743069851</v>
      </c>
      <c r="E30" s="3" t="n">
        <f aca="false">E28/(1+Assumptions!$E$30)^(E$6/12)</f>
        <v>-219471.272217085</v>
      </c>
      <c r="F30" s="3" t="n">
        <f aca="false">F28/(1+Assumptions!$E$30)^(F$6/12)</f>
        <v>-219419.036792766</v>
      </c>
      <c r="G30" s="3" t="n">
        <f aca="false">G28/(1+Assumptions!$E$30)^(G$6/12)</f>
        <v>-219348.39251314</v>
      </c>
      <c r="H30" s="3" t="n">
        <f aca="false">H28/(1+Assumptions!$E$30)^(H$6/12)</f>
        <v>-219259.690065166</v>
      </c>
      <c r="I30" s="3" t="n">
        <f aca="false">I28/(1+Assumptions!$E$30)^(I$6/12)</f>
        <v>-219153.275169637</v>
      </c>
      <c r="J30" s="3" t="n">
        <f aca="false">J28/(1+Assumptions!$E$30)^(J$6/12)</f>
        <v>-219029.488643555</v>
      </c>
      <c r="K30" s="3" t="n">
        <f aca="false">K28/(1+Assumptions!$E$30)^(K$6/12)</f>
        <v>-218888.666461772</v>
      </c>
      <c r="L30" s="0" t="n">
        <f aca="false">L28/(1+Assumptions!$E$30)^(L$6/12)</f>
        <v>-218731.139817909</v>
      </c>
      <c r="M30" s="0" t="n">
        <f aca="false">M28/(1+Assumptions!$E$30)^(M$6/12)</f>
        <v>-218557.235184552</v>
      </c>
      <c r="N30" s="0" t="n">
        <f aca="false">N28/(1+Assumptions!$E$30)^(N$6/12)</f>
        <v>-218367.274372744</v>
      </c>
      <c r="O30" s="0" t="n">
        <f aca="false">O28/(1+Assumptions!$E$30)^(O$6/12)</f>
        <v>-218161.574590774</v>
      </c>
      <c r="P30" s="0" t="n">
        <f aca="false">P28/(1+Assumptions!$E$30)^(P$6/12)</f>
        <v>-217940.44850227</v>
      </c>
      <c r="Q30" s="0" t="n">
        <f aca="false">Q28/(1+Assumptions!$E$30)^(Q$6/12)</f>
        <v>-217704.204283613</v>
      </c>
      <c r="R30" s="0" t="n">
        <f aca="false">R28/(1+Assumptions!$E$30)^(R$6/12)</f>
        <v>-217453.145680662</v>
      </c>
      <c r="S30" s="0" t="n">
        <f aca="false">S28/(1+Assumptions!$E$30)^(S$6/12)</f>
        <v>-217187.572064825</v>
      </c>
      <c r="T30" s="0" t="n">
        <f aca="false">T28/(1+Assumptions!$E$30)^(T$6/12)</f>
        <v>-216907.77848845</v>
      </c>
      <c r="U30" s="0" t="n">
        <f aca="false">U28/(1+Assumptions!$E$30)^(U$6/12)</f>
        <v>-216614.055739578</v>
      </c>
      <c r="V30" s="0" t="n">
        <f aca="false">V28/(1+Assumptions!$E$30)^(V$6/12)</f>
        <v>-216306.690396031</v>
      </c>
      <c r="W30" s="0" t="n">
        <f aca="false">W28/(1+Assumptions!$E$30)^(W$6/12)</f>
        <v>-215985.964878876</v>
      </c>
      <c r="X30" s="0" t="n">
        <f aca="false">X28/(1+Assumptions!$E$30)^(X$6/12)</f>
        <v>-215652.157505247</v>
      </c>
      <c r="Y30" s="0" t="n">
        <f aca="false">Y28/(1+Assumptions!$E$30)^(Y$6/12)</f>
        <v>-215305.54254054</v>
      </c>
      <c r="Z30" s="0" t="n">
        <f aca="false">Z28/(1+Assumptions!$E$30)^(Z$6/12)</f>
        <v>-214946.390249997</v>
      </c>
      <c r="AA30" s="0" t="n">
        <f aca="false">AA28/(1+Assumptions!$E$30)^(AA$6/12)</f>
        <v>-214574.96694967</v>
      </c>
      <c r="AB30" s="0" t="n">
        <f aca="false">AB28/(1+Assumptions!$E$30)^(AB$6/12)</f>
        <v>-45066.1714144195</v>
      </c>
      <c r="AC30" s="0" t="n">
        <f aca="false">AC28/(1+Assumptions!$E$30)^(AC$6/12)</f>
        <v>-38747.6482611815</v>
      </c>
      <c r="AD30" s="0" t="n">
        <f aca="false">AD28/(1+Assumptions!$E$30)^(AD$6/12)</f>
        <v>-32519.8944139679</v>
      </c>
      <c r="AE30" s="0" t="n">
        <f aca="false">AE28/(1+Assumptions!$E$30)^(AE$6/12)</f>
        <v>-26381.9141020935</v>
      </c>
      <c r="AF30" s="0" t="n">
        <f aca="false">AF28/(1+Assumptions!$E$30)^(AF$6/12)</f>
        <v>-20332.7213138667</v>
      </c>
      <c r="AG30" s="0" t="n">
        <f aca="false">AG28/(1+Assumptions!$E$30)^(AG$6/12)</f>
        <v>-14371.3397067057</v>
      </c>
      <c r="AH30" s="0" t="n">
        <f aca="false">AH28/(1+Assumptions!$E$30)^(AH$6/12)</f>
        <v>-8496.80251805011</v>
      </c>
      <c r="AI30" s="0" t="n">
        <f aca="false">AI28/(1+Assumptions!$E$30)^(AI$6/12)</f>
        <v>-2708.15247706302</v>
      </c>
      <c r="AJ30" s="0" t="n">
        <f aca="false">AJ28/(1+Assumptions!$E$30)^(AJ$6/12)</f>
        <v>2995.5582828859</v>
      </c>
      <c r="AK30" s="0" t="n">
        <f aca="false">AK28/(1+Assumptions!$E$30)^(AK$6/12)</f>
        <v>8615.26831096067</v>
      </c>
      <c r="AL30" s="0" t="n">
        <f aca="false">AL28/(1+Assumptions!$E$30)^(AL$6/12)</f>
        <v>14151.9069248309</v>
      </c>
      <c r="AM30" s="0" t="n">
        <f aca="false">AM28/(1+Assumptions!$E$30)^(AM$6/12)</f>
        <v>19606.3942958807</v>
      </c>
      <c r="AN30" s="0" t="n">
        <f aca="false">AN28/(1+Assumptions!$E$30)^(AN$6/12)</f>
        <v>19555.8908686073</v>
      </c>
      <c r="AO30" s="0" t="n">
        <f aca="false">AO28/(1+Assumptions!$E$30)^(AO$6/12)</f>
        <v>19504.8775840594</v>
      </c>
      <c r="AP30" s="0" t="n">
        <f aca="false">AP28/(1+Assumptions!$E$30)^(AP$6/12)</f>
        <v>19453.366480264</v>
      </c>
      <c r="AQ30" s="0" t="n">
        <f aca="false">AQ28/(1+Assumptions!$E$30)^(AQ$6/12)</f>
        <v>19401.3694287744</v>
      </c>
      <c r="AR30" s="0" t="n">
        <f aca="false">AR28/(1+Assumptions!$E$30)^(AR$6/12)</f>
        <v>19348.8981366276</v>
      </c>
      <c r="AS30" s="0" t="n">
        <f aca="false">AS28/(1+Assumptions!$E$30)^(AS$6/12)</f>
        <v>87687.1137118625</v>
      </c>
      <c r="AT30" s="0" t="n">
        <f aca="false">AT28/(1+Assumptions!$E$30)^(AT$6/12)</f>
        <v>25550.676865912</v>
      </c>
      <c r="AU30" s="0" t="n">
        <f aca="false">AU28/(1+Assumptions!$E$30)^(AU$6/12)</f>
        <v>25437.5578666514</v>
      </c>
      <c r="AV30" s="0" t="n">
        <f aca="false">AV28/(1+Assumptions!$E$30)^(AV$6/12)</f>
        <v>25324.5671844673</v>
      </c>
      <c r="AW30" s="0" t="n">
        <f aca="false">AW28/(1+Assumptions!$E$30)^(AW$6/12)</f>
        <v>25211.7104936943</v>
      </c>
      <c r="AX30" s="0" t="n">
        <f aca="false">AX28/(1+Assumptions!$E$30)^(AX$6/12)</f>
        <v>25098.9933646964</v>
      </c>
      <c r="AY30" s="0" t="n">
        <f aca="false">AY28/(1+Assumptions!$E$30)^(AY$6/12)</f>
        <v>24986.4212652165</v>
      </c>
      <c r="AZ30" s="0" t="n">
        <f aca="false">AZ28/(1+Assumptions!$E$30)^(AZ$6/12)</f>
        <v>24873.9995617115</v>
      </c>
      <c r="BA30" s="0" t="n">
        <f aca="false">BA28/(1+Assumptions!$E$30)^(BA$6/12)</f>
        <v>24761.733520671</v>
      </c>
      <c r="BB30" s="0" t="n">
        <f aca="false">BB28/(1+Assumptions!$E$30)^(BB$6/12)</f>
        <v>24649.6283099218</v>
      </c>
      <c r="BC30" s="0" t="n">
        <f aca="false">BC28/(1+Assumptions!$E$30)^(BC$6/12)</f>
        <v>24537.6889999166</v>
      </c>
      <c r="BD30" s="0" t="n">
        <f aca="false">BD28/(1+Assumptions!$E$30)^(BD$6/12)</f>
        <v>24425.9205650088</v>
      </c>
      <c r="BE30" s="0" t="n">
        <f aca="false">BE28/(1+Assumptions!$E$30)^(BE$6/12)</f>
        <v>24314.3278847122</v>
      </c>
      <c r="BF30" s="0" t="n">
        <f aca="false">BF28/(1+Assumptions!$E$30)^(BF$6/12)</f>
        <v>24202.9157449461</v>
      </c>
      <c r="BG30" s="0" t="n">
        <f aca="false">BG28/(1+Assumptions!$E$30)^(BG$6/12)</f>
        <v>24091.6888392666</v>
      </c>
      <c r="BH30" s="0" t="n">
        <f aca="false">BH28/(1+Assumptions!$E$30)^(BH$6/12)</f>
        <v>23980.651770083</v>
      </c>
      <c r="BI30" s="0" t="n">
        <f aca="false">BI28/(1+Assumptions!$E$30)^(BI$6/12)</f>
        <v>23869.809049861</v>
      </c>
      <c r="BJ30" s="0" t="n">
        <f aca="false">BJ28/(1+Assumptions!$E$30)^(BJ$6/12)</f>
        <v>23759.1651023118</v>
      </c>
      <c r="BK30" s="0" t="n">
        <f aca="false">BK28/(1+Assumptions!$E$30)^(BK$6/12)</f>
        <v>4764693.62401194</v>
      </c>
    </row>
    <row r="31" customFormat="false" ht="25" hidden="false" customHeight="true" outlineLevel="0" collapsed="false">
      <c r="A31" s="1"/>
      <c r="B31" s="1" t="s">
        <v>73</v>
      </c>
      <c r="C31" s="3" t="n">
        <f aca="false">SUM($C28:C28)</f>
        <v>-1484000</v>
      </c>
      <c r="D31" s="3" t="n">
        <f aca="false">SUM($C28:D28)</f>
        <v>-1705587.578125</v>
      </c>
      <c r="E31" s="3" t="n">
        <f aca="false">SUM($C28:E28)</f>
        <v>-1929243.64583333</v>
      </c>
      <c r="F31" s="3" t="n">
        <f aca="false">SUM($C28:F28)</f>
        <v>-2154968.203125</v>
      </c>
      <c r="G31" s="3" t="n">
        <f aca="false">SUM($C28:G28)</f>
        <v>-2382761.25</v>
      </c>
      <c r="H31" s="3" t="n">
        <f aca="false">SUM($C28:H28)</f>
        <v>-2612622.78645833</v>
      </c>
      <c r="I31" s="3" t="n">
        <f aca="false">SUM($C28:I28)</f>
        <v>-2844552.8125</v>
      </c>
      <c r="J31" s="3" t="n">
        <f aca="false">SUM($C28:J28)</f>
        <v>-3078551.328125</v>
      </c>
      <c r="K31" s="3" t="n">
        <f aca="false">SUM($C28:K28)</f>
        <v>-3314618.33333333</v>
      </c>
      <c r="L31" s="0" t="n">
        <f aca="false">SUM($C28:L28)</f>
        <v>-3552753.828125</v>
      </c>
      <c r="M31" s="0" t="n">
        <f aca="false">SUM($C28:M28)</f>
        <v>-3792957.8125</v>
      </c>
      <c r="N31" s="0" t="n">
        <f aca="false">SUM($C28:N28)</f>
        <v>-4035230.28645833</v>
      </c>
      <c r="O31" s="0" t="n">
        <f aca="false">SUM($C28:O28)</f>
        <v>-4279571.25</v>
      </c>
      <c r="P31" s="0" t="n">
        <f aca="false">SUM($C28:P28)</f>
        <v>-4525980.703125</v>
      </c>
      <c r="Q31" s="0" t="n">
        <f aca="false">SUM($C28:Q28)</f>
        <v>-4774458.64583333</v>
      </c>
      <c r="R31" s="0" t="n">
        <f aca="false">SUM($C28:R28)</f>
        <v>-5025005.078125</v>
      </c>
      <c r="S31" s="0" t="n">
        <f aca="false">SUM($C28:S28)</f>
        <v>-5277620</v>
      </c>
      <c r="T31" s="0" t="n">
        <f aca="false">SUM($C28:T28)</f>
        <v>-5532303.41145833</v>
      </c>
      <c r="U31" s="0" t="n">
        <f aca="false">SUM($C28:U28)</f>
        <v>-5789055.3125</v>
      </c>
      <c r="V31" s="0" t="n">
        <f aca="false">SUM($C28:V28)</f>
        <v>-6047875.703125</v>
      </c>
      <c r="W31" s="0" t="n">
        <f aca="false">SUM($C28:W28)</f>
        <v>-6308764.58333333</v>
      </c>
      <c r="X31" s="0" t="n">
        <f aca="false">SUM($C28:X28)</f>
        <v>-6571721.953125</v>
      </c>
      <c r="Y31" s="0" t="n">
        <f aca="false">SUM($C28:Y28)</f>
        <v>-6836747.8125</v>
      </c>
      <c r="Z31" s="0" t="n">
        <f aca="false">SUM($C28:Z28)</f>
        <v>-7103842.16145833</v>
      </c>
      <c r="AA31" s="0" t="n">
        <f aca="false">SUM($C28:AA28)</f>
        <v>-7373005</v>
      </c>
      <c r="AB31" s="0" t="n">
        <f aca="false">SUM($C28:AB28)</f>
        <v>-7430072.41642708</v>
      </c>
      <c r="AC31" s="0" t="n">
        <f aca="false">SUM($C28:AC28)</f>
        <v>-7479604.24917774</v>
      </c>
      <c r="AD31" s="0" t="n">
        <f aca="false">SUM($C28:AD28)</f>
        <v>-7521569.48595658</v>
      </c>
      <c r="AE31" s="0" t="n">
        <f aca="false">SUM($C28:AE28)</f>
        <v>-7555937.01868061</v>
      </c>
      <c r="AF31" s="0" t="n">
        <f aca="false">SUM($C28:AF28)</f>
        <v>-7582675.64321625</v>
      </c>
      <c r="AG31" s="0" t="n">
        <f aca="false">SUM($C28:AG28)</f>
        <v>-7601754.05911556</v>
      </c>
      <c r="AH31" s="0" t="n">
        <f aca="false">SUM($C28:AH28)</f>
        <v>-7613140.86935195</v>
      </c>
      <c r="AI31" s="0" t="n">
        <f aca="false">SUM($C28:AI28)</f>
        <v>-7616804.580055</v>
      </c>
      <c r="AJ31" s="0" t="n">
        <f aca="false">SUM($C28:AJ28)</f>
        <v>-7612713.60024479</v>
      </c>
      <c r="AK31" s="0" t="n">
        <f aca="false">SUM($C28:AK28)</f>
        <v>-7600836.24156546</v>
      </c>
      <c r="AL31" s="0" t="n">
        <f aca="false">SUM($C28:AL28)</f>
        <v>-7581140.71801806</v>
      </c>
      <c r="AM31" s="0" t="n">
        <f aca="false">SUM($C28:AM28)</f>
        <v>-7553595.14569273</v>
      </c>
      <c r="AN31" s="0" t="n">
        <f aca="false">SUM($C28:AN28)</f>
        <v>-7525859.82607919</v>
      </c>
      <c r="AO31" s="0" t="n">
        <f aca="false">SUM($C28:AO28)</f>
        <v>-7497934.36832908</v>
      </c>
      <c r="AP31" s="0" t="n">
        <f aca="false">SUM($C28:AP28)</f>
        <v>-7469818.38078898</v>
      </c>
      <c r="AQ31" s="0" t="n">
        <f aca="false">SUM($C28:AQ28)</f>
        <v>-7441511.47099872</v>
      </c>
      <c r="AR31" s="0" t="n">
        <f aca="false">SUM($C28:AR28)</f>
        <v>-7413013.2456897</v>
      </c>
      <c r="AS31" s="0" t="n">
        <f aca="false">SUM($C28:AS28)</f>
        <v>-7282636.88485119</v>
      </c>
      <c r="AT31" s="0" t="n">
        <f aca="false">SUM($C28:AT28)</f>
        <v>-7244286.74157587</v>
      </c>
      <c r="AU31" s="0" t="n">
        <f aca="false">SUM($C28:AU28)</f>
        <v>-7205744.098109</v>
      </c>
      <c r="AV31" s="0" t="n">
        <f aca="false">SUM($C28:AV28)</f>
        <v>-7167008.55793169</v>
      </c>
      <c r="AW31" s="0" t="n">
        <f aca="false">SUM($C28:AW28)</f>
        <v>-7128079.72370831</v>
      </c>
      <c r="AX31" s="0" t="n">
        <f aca="false">SUM($C28:AX28)</f>
        <v>-7088957.19728476</v>
      </c>
      <c r="AY31" s="0" t="n">
        <f aca="false">SUM($C28:AY28)</f>
        <v>-7049640.57968682</v>
      </c>
      <c r="AZ31" s="0" t="n">
        <f aca="false">SUM($C28:AZ28)</f>
        <v>-7010129.47111847</v>
      </c>
      <c r="BA31" s="0" t="n">
        <f aca="false">SUM($C28:BA28)</f>
        <v>-6970423.47096013</v>
      </c>
      <c r="BB31" s="0" t="n">
        <f aca="false">SUM($C28:BB28)</f>
        <v>-6930522.17776705</v>
      </c>
      <c r="BC31" s="0" t="n">
        <f aca="false">SUM($C28:BC28)</f>
        <v>-6890425.18926754</v>
      </c>
      <c r="BD31" s="0" t="n">
        <f aca="false">SUM($C28:BD28)</f>
        <v>-6850132.10236133</v>
      </c>
      <c r="BE31" s="0" t="n">
        <f aca="false">SUM($C28:BE28)</f>
        <v>-6809642.51311779</v>
      </c>
      <c r="BF31" s="0" t="n">
        <f aca="false">SUM($C28:BF28)</f>
        <v>-6768956.0167743</v>
      </c>
      <c r="BG31" s="0" t="n">
        <f aca="false">SUM($C28:BG28)</f>
        <v>-6728072.20773445</v>
      </c>
      <c r="BH31" s="0" t="n">
        <f aca="false">SUM($C28:BH28)</f>
        <v>-6686990.6795664</v>
      </c>
      <c r="BI31" s="0" t="n">
        <f aca="false">SUM($C28:BI28)</f>
        <v>-6645711.02500113</v>
      </c>
      <c r="BJ31" s="0" t="n">
        <f aca="false">SUM($C28:BJ28)</f>
        <v>-6604232.83593068</v>
      </c>
      <c r="BK31" s="0" t="n">
        <f aca="false">SUM($C28:BK28)</f>
        <v>1792785.34534282</v>
      </c>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2" t="s">
        <v>74</v>
      </c>
      <c r="C49" s="12"/>
      <c r="D49" s="12"/>
      <c r="E49" s="12"/>
      <c r="F49" s="12"/>
      <c r="G49" s="12"/>
      <c r="H49" s="12"/>
      <c r="I49" s="12"/>
      <c r="J49" s="12"/>
      <c r="K49" s="12"/>
    </row>
    <row r="50" customFormat="false" ht="25" hidden="false" customHeight="true" outlineLevel="0" collapsed="false">
      <c r="A50" s="1"/>
      <c r="B50" s="12"/>
      <c r="C50" s="12"/>
      <c r="D50" s="12"/>
      <c r="E50" s="12"/>
      <c r="F50" s="12"/>
      <c r="G50" s="12"/>
      <c r="H50" s="12"/>
      <c r="I50" s="12"/>
      <c r="J50" s="12"/>
      <c r="K50" s="12"/>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49:K5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75</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t="n">
        <v>0</v>
      </c>
      <c r="D6" s="3" t="n">
        <v>1</v>
      </c>
      <c r="E6" s="3" t="n">
        <v>2</v>
      </c>
      <c r="F6" s="3" t="n">
        <v>3</v>
      </c>
      <c r="G6" s="3" t="n">
        <v>4</v>
      </c>
      <c r="H6" s="3" t="n">
        <v>5</v>
      </c>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51</v>
      </c>
      <c r="C8" s="3" t="n">
        <f aca="false">SUM(Monthly!C9)</f>
        <v>4240000</v>
      </c>
      <c r="D8" s="3" t="n">
        <f aca="false">SUM(Monthly!D9:O9)</f>
        <v>7050000</v>
      </c>
      <c r="E8" s="3" t="n">
        <f aca="false">SUM(Monthly!P9:AA9)</f>
        <v>7050000</v>
      </c>
      <c r="F8" s="3" t="n">
        <f aca="false">SUM(Monthly!AB9:AM9)</f>
        <v>0</v>
      </c>
      <c r="G8" s="3" t="n">
        <f aca="false">SUM(Monthly!AN9:AY9)</f>
        <v>0</v>
      </c>
      <c r="H8" s="3" t="n">
        <f aca="false">SUM(Monthly!AZ9:BK9)</f>
        <v>0</v>
      </c>
      <c r="I8" s="3"/>
      <c r="J8" s="3"/>
      <c r="K8" s="3"/>
    </row>
    <row r="9" customFormat="false" ht="25" hidden="false" customHeight="true" outlineLevel="0" collapsed="false">
      <c r="A9" s="1"/>
      <c r="B9" s="1" t="s">
        <v>76</v>
      </c>
      <c r="C9" s="3" t="n">
        <f aca="false">SUM(Monthly!C16)</f>
        <v>0</v>
      </c>
      <c r="D9" s="3" t="n">
        <f aca="false">SUM(Monthly!D16:O16)</f>
        <v>0</v>
      </c>
      <c r="E9" s="3" t="n">
        <f aca="false">SUM(Monthly!P16:AA16)</f>
        <v>0</v>
      </c>
      <c r="F9" s="3" t="n">
        <f aca="false">SUM(Monthly!AB16:AM16)</f>
        <v>610556.357165001</v>
      </c>
      <c r="G9" s="3" t="n">
        <f aca="false">SUM(Monthly!AN16:AY16)</f>
        <v>1151018.33916465</v>
      </c>
      <c r="H9" s="3" t="n">
        <f aca="false">SUM(Monthly!AZ16:BK16)</f>
        <v>1179793.79764376</v>
      </c>
      <c r="I9" s="3"/>
      <c r="J9" s="3"/>
      <c r="K9" s="3"/>
    </row>
    <row r="10" customFormat="false" ht="25" hidden="false" customHeight="true" outlineLevel="0" collapsed="false">
      <c r="A10" s="1"/>
      <c r="B10" s="1" t="s">
        <v>77</v>
      </c>
      <c r="C10" s="3" t="n">
        <f aca="false">SUM(Monthly!C17)</f>
        <v>0</v>
      </c>
      <c r="D10" s="3" t="n">
        <f aca="false">SUM(Monthly!D17:O17)</f>
        <v>0</v>
      </c>
      <c r="E10" s="3" t="n">
        <f aca="false">SUM(Monthly!P17:AA17)</f>
        <v>0</v>
      </c>
      <c r="F10" s="3" t="n">
        <f aca="false">SUM(Monthly!AB17:AM17)</f>
        <v>16281.5028577334</v>
      </c>
      <c r="G10" s="3" t="n">
        <f aca="false">SUM(Monthly!AN17:AY17)</f>
        <v>30693.8223777239</v>
      </c>
      <c r="H10" s="3" t="n">
        <f aca="false">SUM(Monthly!AZ17:BK17)</f>
        <v>31461.167937167</v>
      </c>
      <c r="I10" s="3"/>
      <c r="J10" s="3"/>
      <c r="K10" s="3"/>
    </row>
    <row r="11" customFormat="false" ht="25" hidden="false" customHeight="true" outlineLevel="0" collapsed="false">
      <c r="A11" s="1"/>
      <c r="B11" s="1" t="s">
        <v>78</v>
      </c>
      <c r="C11" s="3" t="n">
        <f aca="false">SUM(Monthly!C20)</f>
        <v>0</v>
      </c>
      <c r="D11" s="3" t="n">
        <f aca="false">SUM(Monthly!D20:O20)</f>
        <v>328071.25</v>
      </c>
      <c r="E11" s="3" t="n">
        <f aca="false">SUM(Monthly!P20:AA20)</f>
        <v>625933.75</v>
      </c>
      <c r="F11" s="3" t="n">
        <f aca="false">SUM(Monthly!AB20:AM20)</f>
        <v>774865</v>
      </c>
      <c r="G11" s="3" t="n">
        <f aca="false">SUM(Monthly!AN20:AY20)</f>
        <v>718056.376713134</v>
      </c>
      <c r="H11" s="3" t="n">
        <f aca="false">SUM(Monthly!AZ20:BK20)</f>
        <v>661247.753426267</v>
      </c>
      <c r="I11" s="3"/>
      <c r="J11" s="3"/>
      <c r="K11" s="3"/>
    </row>
    <row r="12" customFormat="false" ht="25" hidden="false" customHeight="true" outlineLevel="0" collapsed="false">
      <c r="A12" s="1"/>
      <c r="B12" s="1" t="s">
        <v>63</v>
      </c>
      <c r="C12" s="3" t="n">
        <f aca="false">SUM(Monthly!C21)</f>
        <v>0</v>
      </c>
      <c r="D12" s="3" t="n">
        <f aca="false">SUM(Monthly!D21:O21)</f>
        <v>0</v>
      </c>
      <c r="E12" s="3" t="n">
        <f aca="false">SUM(Monthly!P21:AA21)</f>
        <v>0</v>
      </c>
      <c r="F12" s="3" t="n">
        <f aca="false">SUM(Monthly!AB21:AM21)</f>
        <v>0</v>
      </c>
      <c r="G12" s="3" t="n">
        <f aca="false">SUM(Monthly!AN21:AY21)</f>
        <v>12022686.4259321</v>
      </c>
      <c r="H12" s="3" t="n">
        <f aca="false">SUM(Monthly!AZ21:BK21)</f>
        <v>0</v>
      </c>
      <c r="I12" s="3"/>
      <c r="J12" s="3"/>
      <c r="K12" s="3"/>
    </row>
    <row r="13" customFormat="false" ht="25" hidden="false" customHeight="true" outlineLevel="0" collapsed="false">
      <c r="A13" s="1"/>
      <c r="B13" s="1" t="s">
        <v>79</v>
      </c>
      <c r="C13" s="3" t="n">
        <f aca="false">SUM(Monthly!C22)</f>
        <v>0</v>
      </c>
      <c r="D13" s="3" t="n">
        <f aca="false">SUM(Monthly!D22:O22)</f>
        <v>0</v>
      </c>
      <c r="E13" s="3" t="n">
        <f aca="false">SUM(Monthly!P22:AA22)</f>
        <v>0</v>
      </c>
      <c r="F13" s="3" t="n">
        <f aca="false">SUM(Monthly!AB22:AM22)</f>
        <v>0</v>
      </c>
      <c r="G13" s="3" t="n">
        <f aca="false">SUM(Monthly!AN22:AY22)</f>
        <v>0</v>
      </c>
      <c r="H13" s="3" t="n">
        <f aca="false">SUM(Monthly!AZ22:BK22)</f>
        <v>20793905.5864096</v>
      </c>
      <c r="I13" s="3"/>
      <c r="J13" s="3"/>
      <c r="K13" s="3"/>
    </row>
    <row r="14" customFormat="false" ht="25" hidden="false" customHeight="true" outlineLevel="0" collapsed="false">
      <c r="A14" s="1"/>
      <c r="B14" s="1" t="s">
        <v>70</v>
      </c>
      <c r="C14" s="3" t="n">
        <f aca="false">SUM(Monthly!C28)</f>
        <v>-1484000</v>
      </c>
      <c r="D14" s="3" t="n">
        <f aca="false">SUM(Monthly!D28:O28)</f>
        <v>-2795571.25</v>
      </c>
      <c r="E14" s="3" t="n">
        <f aca="false">SUM(Monthly!P28:AA28)</f>
        <v>-3093433.75</v>
      </c>
      <c r="F14" s="3" t="n">
        <f aca="false">SUM(Monthly!AB28:AM28)</f>
        <v>-180590.145692732</v>
      </c>
      <c r="G14" s="3" t="n">
        <f aca="false">SUM(Monthly!AN28:AY28)</f>
        <v>503954.566005911</v>
      </c>
      <c r="H14" s="3" t="n">
        <f aca="false">SUM(Monthly!AZ28:BK28)</f>
        <v>8842425.92502965</v>
      </c>
      <c r="I14" s="3"/>
      <c r="J14" s="3"/>
      <c r="K14" s="3"/>
    </row>
    <row r="15" customFormat="false" ht="25" hidden="false" customHeight="true" outlineLevel="0" collapsed="false">
      <c r="A15" s="1"/>
      <c r="B15" s="1" t="s">
        <v>71</v>
      </c>
      <c r="C15" s="3" t="n">
        <f aca="false">SUM(Monthly!C29)</f>
        <v>-4240000</v>
      </c>
      <c r="D15" s="3" t="n">
        <f aca="false">SUM(Monthly!D29:O29)</f>
        <v>-7050000</v>
      </c>
      <c r="E15" s="3" t="n">
        <f aca="false">SUM(Monthly!P29:AA29)</f>
        <v>-7050000</v>
      </c>
      <c r="F15" s="3" t="n">
        <f aca="false">SUM(Monthly!AB29:AM29)</f>
        <v>594274.854307268</v>
      </c>
      <c r="G15" s="3" t="n">
        <f aca="false">SUM(Monthly!AN29:AY29)</f>
        <v>1120324.51678692</v>
      </c>
      <c r="H15" s="3" t="n">
        <f aca="false">SUM(Monthly!AZ29:BK29)</f>
        <v>21526360.104388</v>
      </c>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80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81</v>
      </c>
      <c r="C8" s="3" t="n">
        <f aca="false">MAX(Monthly!C27:BK27)</f>
        <v>12022686.4259321</v>
      </c>
      <c r="D8" s="3"/>
      <c r="E8" s="3"/>
      <c r="F8" s="3"/>
      <c r="G8" s="3"/>
      <c r="H8" s="3"/>
      <c r="I8" s="3"/>
      <c r="J8" s="3"/>
      <c r="K8" s="3"/>
    </row>
    <row r="9" customFormat="false" ht="25" hidden="false" customHeight="true" outlineLevel="0" collapsed="false">
      <c r="A9" s="1"/>
      <c r="B9" s="1" t="s">
        <v>82</v>
      </c>
      <c r="C9" s="16" t="n">
        <f aca="false">C8/SUM(Monthly!C9:BK9)</f>
        <v>0.655544516135885</v>
      </c>
      <c r="D9" s="3"/>
      <c r="E9" s="3"/>
      <c r="F9" s="3"/>
      <c r="G9" s="3"/>
      <c r="H9" s="3"/>
      <c r="I9" s="3"/>
      <c r="J9" s="3"/>
      <c r="K9" s="3"/>
    </row>
    <row r="10" customFormat="false" ht="25" hidden="false" customHeight="true" outlineLevel="0" collapsed="false">
      <c r="A10" s="1"/>
      <c r="B10" s="1" t="s">
        <v>83</v>
      </c>
      <c r="C10" s="3" t="n">
        <f aca="false">SUM(Monthly!AZ16:BK16)</f>
        <v>1179793.79764376</v>
      </c>
      <c r="D10" s="3"/>
      <c r="E10" s="3"/>
      <c r="F10" s="3"/>
      <c r="G10" s="3"/>
      <c r="H10" s="3"/>
      <c r="I10" s="3"/>
      <c r="J10" s="3"/>
      <c r="K10" s="3"/>
    </row>
    <row r="11" customFormat="false" ht="25" hidden="false" customHeight="true" outlineLevel="0" collapsed="false">
      <c r="A11" s="1"/>
      <c r="B11" s="1" t="s">
        <v>84</v>
      </c>
      <c r="C11" s="16" t="n">
        <f aca="false">IF(C8&gt;0,C10/C8,0)</f>
        <v>0.0981306303638617</v>
      </c>
      <c r="D11" s="3"/>
      <c r="E11" s="3"/>
      <c r="F11" s="3"/>
      <c r="G11" s="3"/>
      <c r="H11" s="3"/>
      <c r="I11" s="3"/>
      <c r="J11" s="3"/>
      <c r="K11" s="3"/>
    </row>
    <row r="12" customFormat="false" ht="25" hidden="false" customHeight="true" outlineLevel="0" collapsed="false">
      <c r="A12" s="1"/>
      <c r="B12" s="1" t="s">
        <v>85</v>
      </c>
      <c r="C12" s="16" t="n">
        <f aca="false">IF(Monthly!BK22&gt;0,Monthly!BK19/Monthly!BK22,0)</f>
        <v>0.578183178526589</v>
      </c>
      <c r="D12" s="3"/>
      <c r="E12" s="3"/>
      <c r="F12" s="3"/>
      <c r="G12" s="3"/>
      <c r="H12" s="3"/>
      <c r="I12" s="3"/>
      <c r="J12" s="3"/>
      <c r="K12" s="3"/>
    </row>
    <row r="13" customFormat="false" ht="25" hidden="false" customHeight="true" outlineLevel="0" collapsed="false">
      <c r="A13" s="1"/>
      <c r="B13" s="1" t="s">
        <v>86</v>
      </c>
      <c r="C13" s="18" t="n">
        <f aca="false">IF(SUM(Monthly!AZ20:BK20)&gt;0,C10/SUM(Monthly!AZ20:BK20),0)</f>
        <v>1.78419327934294</v>
      </c>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2" t="s">
        <v>87</v>
      </c>
      <c r="C17" s="12"/>
      <c r="D17" s="12"/>
      <c r="E17" s="12"/>
      <c r="F17" s="12"/>
      <c r="G17" s="12"/>
      <c r="H17" s="12"/>
      <c r="I17" s="12"/>
      <c r="J17" s="12"/>
      <c r="K17" s="12"/>
    </row>
    <row r="18" customFormat="false" ht="25" hidden="false" customHeight="true" outlineLevel="0" collapsed="false">
      <c r="A18" s="1"/>
      <c r="B18" s="12"/>
      <c r="C18" s="12"/>
      <c r="D18" s="12"/>
      <c r="E18" s="12"/>
      <c r="F18" s="12"/>
      <c r="G18" s="12"/>
      <c r="H18" s="12"/>
      <c r="I18" s="12"/>
      <c r="J18" s="12"/>
      <c r="K18" s="12"/>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17:K18"/>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88</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2" t="s">
        <v>89</v>
      </c>
      <c r="C6" s="12"/>
      <c r="D6" s="12"/>
      <c r="E6" s="12"/>
      <c r="F6" s="12"/>
      <c r="G6" s="12"/>
      <c r="H6" s="12"/>
      <c r="I6" s="12"/>
      <c r="J6" s="12"/>
      <c r="K6" s="12"/>
    </row>
    <row r="7" customFormat="false" ht="25" hidden="false" customHeight="true" outlineLevel="0" collapsed="false">
      <c r="A7" s="1"/>
      <c r="B7" s="12"/>
      <c r="C7" s="12"/>
      <c r="D7" s="12"/>
      <c r="E7" s="12"/>
      <c r="F7" s="12"/>
      <c r="G7" s="12"/>
      <c r="H7" s="12"/>
      <c r="I7" s="12"/>
      <c r="J7" s="12"/>
      <c r="K7" s="12"/>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
      <c r="C9" s="16" t="n">
        <f aca="false">Assumptions!$E$28+-0.01</f>
        <v>0.0475</v>
      </c>
      <c r="D9" s="16" t="n">
        <f aca="false">Assumptions!$E$28+-0.005</f>
        <v>0.0525</v>
      </c>
      <c r="E9" s="16" t="n">
        <f aca="false">Assumptions!$E$28+0</f>
        <v>0.0575</v>
      </c>
      <c r="F9" s="16" t="n">
        <f aca="false">Assumptions!$E$28+0.005</f>
        <v>0.0625</v>
      </c>
      <c r="G9" s="16" t="n">
        <f aca="false">Assumptions!$E$28+0.01</f>
        <v>0.0675</v>
      </c>
      <c r="H9" s="3"/>
      <c r="I9" s="3"/>
      <c r="J9" s="3"/>
      <c r="K9" s="3"/>
    </row>
    <row r="10" customFormat="false" ht="25" hidden="false" customHeight="true" outlineLevel="0" collapsed="false">
      <c r="A10" s="1"/>
      <c r="B10" s="16" t="n">
        <v>-0.1</v>
      </c>
      <c r="C10" s="3" t="n">
        <f aca="false">Monthly!BK18*(1+$B10)/C$9</f>
        <v>22654412.9283516</v>
      </c>
      <c r="D10" s="3" t="n">
        <f aca="false">Monthly!BK18*(1+$B10)/D$9</f>
        <v>20496849.7923181</v>
      </c>
      <c r="E10" s="3" t="n">
        <f aca="false">Monthly!BK18*(1+$B10)/E$9</f>
        <v>18714515.0277687</v>
      </c>
      <c r="F10" s="3" t="n">
        <f aca="false">Monthly!BK18*(1+$B10)/F$9</f>
        <v>17217353.8255472</v>
      </c>
      <c r="G10" s="3" t="n">
        <f aca="false">Monthly!BK18*(1+$B10)/G$9</f>
        <v>15941994.2829141</v>
      </c>
      <c r="H10" s="3"/>
      <c r="I10" s="3"/>
      <c r="J10" s="3"/>
      <c r="K10" s="3"/>
    </row>
    <row r="11" customFormat="false" ht="25" hidden="false" customHeight="true" outlineLevel="0" collapsed="false">
      <c r="A11" s="1"/>
      <c r="B11" s="16" t="n">
        <v>-0.05</v>
      </c>
      <c r="C11" s="3" t="n">
        <f aca="false">Monthly!BK18*(1+$B11)/C$9</f>
        <v>23912991.4243711</v>
      </c>
      <c r="D11" s="3" t="n">
        <f aca="false">Monthly!BK18*(1+$B11)/D$9</f>
        <v>21635563.6696691</v>
      </c>
      <c r="E11" s="3" t="n">
        <f aca="false">Monthly!BK18*(1+$B11)/E$9</f>
        <v>19754210.3070892</v>
      </c>
      <c r="F11" s="3" t="n">
        <f aca="false">Monthly!BK18*(1+$B11)/F$9</f>
        <v>18173873.482522</v>
      </c>
      <c r="G11" s="3" t="n">
        <f aca="false">Monthly!BK18*(1+$B11)/G$9</f>
        <v>16827660.6319648</v>
      </c>
      <c r="H11" s="3"/>
      <c r="I11" s="3"/>
      <c r="J11" s="3"/>
      <c r="K11" s="3"/>
    </row>
    <row r="12" customFormat="false" ht="25" hidden="false" customHeight="true" outlineLevel="0" collapsed="false">
      <c r="A12" s="1"/>
      <c r="B12" s="16" t="n">
        <v>0</v>
      </c>
      <c r="C12" s="3" t="n">
        <f aca="false">Monthly!BK18*(1+$B12)/C$9</f>
        <v>25171569.9203906</v>
      </c>
      <c r="D12" s="3" t="n">
        <f aca="false">Monthly!BK18*(1+$B12)/D$9</f>
        <v>22774277.5470201</v>
      </c>
      <c r="E12" s="3" t="n">
        <f aca="false">Monthly!BK18*(1+$B12)/E$9</f>
        <v>20793905.5864096</v>
      </c>
      <c r="F12" s="3" t="n">
        <f aca="false">Monthly!BK18*(1+$B12)/F$9</f>
        <v>19130393.1394969</v>
      </c>
      <c r="G12" s="3" t="n">
        <f aca="false">Monthly!BK18*(1+$B12)/G$9</f>
        <v>17713326.9810156</v>
      </c>
      <c r="H12" s="3"/>
      <c r="I12" s="3"/>
      <c r="J12" s="3"/>
      <c r="K12" s="3"/>
    </row>
    <row r="13" customFormat="false" ht="25" hidden="false" customHeight="true" outlineLevel="0" collapsed="false">
      <c r="A13" s="1"/>
      <c r="B13" s="16" t="n">
        <v>0.05</v>
      </c>
      <c r="C13" s="3" t="n">
        <f aca="false">Monthly!BK18*(1+$B13)/C$9</f>
        <v>26430148.4164101</v>
      </c>
      <c r="D13" s="3" t="n">
        <f aca="false">Monthly!BK18*(1+$B13)/D$9</f>
        <v>23912991.4243711</v>
      </c>
      <c r="E13" s="3" t="n">
        <f aca="false">Monthly!BK18*(1+$B13)/E$9</f>
        <v>21833600.8657301</v>
      </c>
      <c r="F13" s="3" t="n">
        <f aca="false">Monthly!BK18*(1+$B13)/F$9</f>
        <v>20086912.7964717</v>
      </c>
      <c r="G13" s="3" t="n">
        <f aca="false">Monthly!BK18*(1+$B13)/G$9</f>
        <v>18598993.3300664</v>
      </c>
      <c r="H13" s="3"/>
      <c r="I13" s="3"/>
      <c r="J13" s="3"/>
      <c r="K13" s="3"/>
    </row>
    <row r="14" customFormat="false" ht="25" hidden="false" customHeight="true" outlineLevel="0" collapsed="false">
      <c r="A14" s="1"/>
      <c r="B14" s="16" t="n">
        <v>0.1</v>
      </c>
      <c r="C14" s="3" t="n">
        <f aca="false">Monthly!BK18*(1+$B14)/C$9</f>
        <v>27688726.9124297</v>
      </c>
      <c r="D14" s="3" t="n">
        <f aca="false">Monthly!BK18*(1+$B14)/D$9</f>
        <v>25051705.3017221</v>
      </c>
      <c r="E14" s="3" t="n">
        <f aca="false">Monthly!BK18*(1+$B14)/E$9</f>
        <v>22873296.1450506</v>
      </c>
      <c r="F14" s="3" t="n">
        <f aca="false">Monthly!BK18*(1+$B14)/F$9</f>
        <v>21043432.4534466</v>
      </c>
      <c r="G14" s="3" t="n">
        <f aca="false">Monthly!BK18*(1+$B14)/G$9</f>
        <v>19484659.6791172</v>
      </c>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6:K7"/>
  </mergeCells>
  <conditionalFormatting sqref="C10:G14">
    <cfRule type="colorScale" priority="2">
      <colorScale>
        <cfvo type="min" val="0"/>
        <cfvo type="percentile" val="50"/>
        <cfvo type="max" val="0"/>
        <color rgb="FFF6E4D8"/>
        <color rgb="FFF5F7EF"/>
        <color rgb="FFC3DABA"/>
      </colorScale>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90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91</v>
      </c>
      <c r="C8" s="3" t="n">
        <f aca="false">SUM(Monthly!C10:BK10,Monthly!C21:BK21)-SUM(Monthly!C24:BK26)-Monthly!BK27</f>
        <v>0</v>
      </c>
      <c r="D8" s="3"/>
      <c r="E8" s="3"/>
      <c r="F8" s="3"/>
      <c r="G8" s="3"/>
      <c r="H8" s="3"/>
      <c r="I8" s="3"/>
      <c r="J8" s="3"/>
      <c r="K8" s="3"/>
    </row>
    <row r="9" customFormat="false" ht="25" hidden="false" customHeight="true" outlineLevel="0" collapsed="false">
      <c r="A9" s="1"/>
      <c r="B9" s="1" t="s">
        <v>92</v>
      </c>
      <c r="C9" s="3" t="n">
        <f aca="false">Monthly!BK27</f>
        <v>0</v>
      </c>
      <c r="D9" s="3"/>
      <c r="E9" s="3"/>
      <c r="F9" s="3"/>
      <c r="G9" s="3"/>
      <c r="H9" s="3"/>
      <c r="I9" s="3"/>
      <c r="J9" s="3"/>
      <c r="K9" s="3"/>
    </row>
    <row r="10" customFormat="false" ht="25" hidden="false" customHeight="true" outlineLevel="0" collapsed="false">
      <c r="A10" s="1"/>
      <c r="B10" s="1" t="s">
        <v>93</v>
      </c>
      <c r="C10" s="3" t="n">
        <f aca="false">SUM(Monthly!C9:BK9)-(Assumptions!$E$8*(1+Assumptions!$E$9)+Assumptions!$E$11*(1+Assumptions!$E$12+Assumptions!$E$13)+Assumptions!$E$33)</f>
        <v>0</v>
      </c>
      <c r="D10" s="3"/>
      <c r="E10" s="3"/>
      <c r="F10" s="3"/>
      <c r="G10" s="3"/>
      <c r="H10" s="3"/>
      <c r="I10" s="3"/>
      <c r="J10" s="3"/>
      <c r="K10" s="3"/>
    </row>
    <row r="11" customFormat="false" ht="25" hidden="false" customHeight="true" outlineLevel="0" collapsed="false">
      <c r="A11" s="1"/>
      <c r="B11" s="1"/>
      <c r="C11" s="3"/>
      <c r="D11" s="3"/>
      <c r="E11" s="3"/>
      <c r="F11" s="3"/>
      <c r="G11" s="3"/>
      <c r="H11" s="3"/>
      <c r="I11" s="3"/>
      <c r="J11" s="3"/>
      <c r="K11" s="3"/>
    </row>
    <row r="12" customFormat="false" ht="25" hidden="false" customHeight="true" outlineLevel="0" collapsed="false">
      <c r="A12" s="1"/>
      <c r="B12" s="1" t="s">
        <v>94</v>
      </c>
      <c r="C12" s="22" t="str">
        <f aca="false">IF(OR(ISERROR(Dashboard!C10),ISERROR(Dashboard!C18)),"IRR ERROR","OK")</f>
        <v>OK</v>
      </c>
      <c r="D12" s="3"/>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conditionalFormatting sqref="C12">
    <cfRule type="cellIs" priority="2" operator="equal" aboveAverage="0" equalAverage="0" bottom="0" percent="0" rank="0" text="" dxfId="0">
      <formula>"IRR ERROR"</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95</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2" t="s">
        <v>96</v>
      </c>
      <c r="C6" s="12"/>
      <c r="D6" s="12"/>
      <c r="E6" s="12"/>
      <c r="F6" s="12"/>
      <c r="G6" s="12"/>
      <c r="H6" s="12"/>
      <c r="I6" s="12"/>
      <c r="J6" s="12"/>
      <c r="K6" s="12"/>
    </row>
    <row r="7" customFormat="false" ht="25" hidden="false" customHeight="true" outlineLevel="0" collapsed="false">
      <c r="A7" s="1"/>
      <c r="B7" s="12"/>
      <c r="C7" s="12"/>
      <c r="D7" s="12"/>
      <c r="E7" s="12"/>
      <c r="F7" s="12"/>
      <c r="G7" s="12"/>
      <c r="H7" s="12"/>
      <c r="I7" s="12"/>
      <c r="J7" s="12"/>
      <c r="K7" s="12"/>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2" t="s">
        <v>97</v>
      </c>
      <c r="C9" s="12"/>
      <c r="D9" s="12"/>
      <c r="E9" s="12"/>
      <c r="F9" s="12"/>
      <c r="G9" s="12"/>
      <c r="H9" s="12"/>
      <c r="I9" s="12"/>
      <c r="J9" s="12"/>
      <c r="K9" s="12"/>
    </row>
    <row r="10" customFormat="false" ht="25" hidden="false" customHeight="true" outlineLevel="0" collapsed="false">
      <c r="A10" s="1"/>
      <c r="B10" s="12"/>
      <c r="C10" s="12"/>
      <c r="D10" s="12"/>
      <c r="E10" s="12"/>
      <c r="F10" s="12"/>
      <c r="G10" s="12"/>
      <c r="H10" s="12"/>
      <c r="I10" s="12"/>
      <c r="J10" s="12"/>
      <c r="K10" s="12"/>
    </row>
    <row r="11" customFormat="false" ht="25" hidden="false" customHeight="true" outlineLevel="0" collapsed="false">
      <c r="A11" s="1"/>
      <c r="B11" s="1"/>
      <c r="C11" s="3"/>
      <c r="D11" s="3"/>
      <c r="E11" s="3"/>
      <c r="F11" s="3"/>
      <c r="G11" s="3"/>
      <c r="H11" s="3"/>
      <c r="I11" s="3"/>
      <c r="J11" s="3"/>
      <c r="K11" s="3"/>
    </row>
    <row r="12" customFormat="false" ht="25" hidden="false" customHeight="true" outlineLevel="0" collapsed="false">
      <c r="A12" s="1"/>
      <c r="B12" s="12" t="s">
        <v>98</v>
      </c>
      <c r="C12" s="12"/>
      <c r="D12" s="12"/>
      <c r="E12" s="12"/>
      <c r="F12" s="12"/>
      <c r="G12" s="12"/>
      <c r="H12" s="12"/>
      <c r="I12" s="12"/>
      <c r="J12" s="12"/>
      <c r="K12" s="12"/>
    </row>
    <row r="13" customFormat="false" ht="25" hidden="false" customHeight="true" outlineLevel="0" collapsed="false">
      <c r="A13" s="1"/>
      <c r="B13" s="12"/>
      <c r="C13" s="12"/>
      <c r="D13" s="12"/>
      <c r="E13" s="12"/>
      <c r="F13" s="12"/>
      <c r="G13" s="12"/>
      <c r="H13" s="12"/>
      <c r="I13" s="12"/>
      <c r="J13" s="12"/>
      <c r="K13" s="12"/>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2" t="s">
        <v>99</v>
      </c>
      <c r="C15" s="12"/>
      <c r="D15" s="12"/>
      <c r="E15" s="12"/>
      <c r="F15" s="12"/>
      <c r="G15" s="12"/>
      <c r="H15" s="12"/>
      <c r="I15" s="12"/>
      <c r="J15" s="12"/>
      <c r="K15" s="12"/>
    </row>
    <row r="16" customFormat="false" ht="25" hidden="false" customHeight="true" outlineLevel="0" collapsed="false">
      <c r="A16" s="1"/>
      <c r="B16" s="12"/>
      <c r="C16" s="12"/>
      <c r="D16" s="12"/>
      <c r="E16" s="12"/>
      <c r="F16" s="12"/>
      <c r="G16" s="12"/>
      <c r="H16" s="12"/>
      <c r="I16" s="12"/>
      <c r="J16" s="12"/>
      <c r="K16" s="12"/>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2" t="s">
        <v>100</v>
      </c>
      <c r="C19" s="12"/>
      <c r="D19" s="12"/>
      <c r="E19" s="12"/>
      <c r="F19" s="12"/>
      <c r="G19" s="12"/>
      <c r="H19" s="12"/>
      <c r="I19" s="12"/>
      <c r="J19" s="12"/>
      <c r="K19" s="12"/>
    </row>
    <row r="20" customFormat="false" ht="25" hidden="false" customHeight="true" outlineLevel="0" collapsed="false">
      <c r="A20" s="1"/>
      <c r="B20" s="12"/>
      <c r="C20" s="12"/>
      <c r="D20" s="12"/>
      <c r="E20" s="12"/>
      <c r="F20" s="12"/>
      <c r="G20" s="12"/>
      <c r="H20" s="12"/>
      <c r="I20" s="12"/>
      <c r="J20" s="12"/>
      <c r="K20" s="12"/>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7">
    <mergeCell ref="B2:K3"/>
    <mergeCell ref="B4:K4"/>
    <mergeCell ref="B6:K7"/>
    <mergeCell ref="B9:K10"/>
    <mergeCell ref="B12:K13"/>
    <mergeCell ref="B15:K16"/>
    <mergeCell ref="B19:K2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LibreOfficeDev/26.8.0.0.alpha0$Linux_X86_64 LibreOffice_project/2c87e51eeaa2b413ff4ae097b2705eea1995d8e5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