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ssumptions" sheetId="2" state="visible" r:id="rId4"/>
    <sheet name="Debt schedule" sheetId="3" state="visible" r:id="rId5"/>
    <sheet name="Lender" sheetId="4" state="visible" r:id="rId6"/>
    <sheet name="Sensitivity" sheetId="5" state="visible" r:id="rId7"/>
    <sheet name="Checks" sheetId="6" state="visible" r:id="rId8"/>
    <sheet name="ReadMe" sheetId="7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<sst xmlns="http://schemas.openxmlformats.org/spreadsheetml/2006/main" count="75" uniqueCount="64">
  <si>
    <t xml:space="preserve">Refinancing</t>
  </si>
  <si>
    <t xml:space="preserve">FORMULAPLANET  •  EUR  •  v1.2  •  Illustrative inputs  •  Pre-tax</t>
  </si>
  <si>
    <t xml:space="preserve">Active case (1 base / 2 downside)</t>
  </si>
  <si>
    <t xml:space="preserve">Loan commitment</t>
  </si>
  <si>
    <t xml:space="preserve">Net refinance / acquisition funds</t>
  </si>
  <si>
    <t xml:space="preserve">Total interest</t>
  </si>
  <si>
    <t xml:space="preserve">Total origination fees</t>
  </si>
  <si>
    <t xml:space="preserve">Annualized lender IRR</t>
  </si>
  <si>
    <t xml:space="preserve">Balloon at maturity</t>
  </si>
  <si>
    <t xml:space="preserve">Initial debt yield</t>
  </si>
  <si>
    <t xml:space="preserve">Initial LTV</t>
  </si>
  <si>
    <t xml:space="preserve">Initial LTC</t>
  </si>
  <si>
    <t xml:space="preserve">Select base / downside in Assumptions. Review Checks before relying on returns. The workbook is a planning tool; figures do not verify market data.</t>
  </si>
  <si>
    <t xml:space="preserve">Assumptions</t>
  </si>
  <si>
    <t xml:space="preserve">Case: 1 base / 2 downside</t>
  </si>
  <si>
    <t xml:space="preserve">Base</t>
  </si>
  <si>
    <t xml:space="preserve">Downside</t>
  </si>
  <si>
    <t xml:space="preserve">Active</t>
  </si>
  <si>
    <t xml:space="preserve">Property / completed value</t>
  </si>
  <si>
    <t xml:space="preserve">Acquisition / eligible development cost</t>
  </si>
  <si>
    <t xml:space="preserve">Annual stabilized NOI</t>
  </si>
  <si>
    <t xml:space="preserve">Maximum LTV</t>
  </si>
  <si>
    <t xml:space="preserve">Maximum LTC</t>
  </si>
  <si>
    <t xml:space="preserve">Minimum DSCR</t>
  </si>
  <si>
    <t xml:space="preserve">Minimum debt yield</t>
  </si>
  <si>
    <t xml:space="preserve">Annual loan rate</t>
  </si>
  <si>
    <t xml:space="preserve">Amortization years</t>
  </si>
  <si>
    <t xml:space="preserve">Loan term (months)</t>
  </si>
  <si>
    <t xml:space="preserve">Origination fee</t>
  </si>
  <si>
    <t xml:space="preserve">Existing debt to repay</t>
  </si>
  <si>
    <t xml:space="preserve">Exit capitalization rate</t>
  </si>
  <si>
    <t xml:space="preserve">Annual lender discount rate</t>
  </si>
  <si>
    <t xml:space="preserve">Construction months</t>
  </si>
  <si>
    <t xml:space="preserve">Debt schedule</t>
  </si>
  <si>
    <t xml:space="preserve">Month</t>
  </si>
  <si>
    <t xml:space="preserve">Opening principal</t>
  </si>
  <si>
    <t xml:space="preserve">Loan draw</t>
  </si>
  <si>
    <t xml:space="preserve">Interest</t>
  </si>
  <si>
    <t xml:space="preserve">Scheduled principal</t>
  </si>
  <si>
    <t xml:space="preserve">Balloon repayment</t>
  </si>
  <si>
    <t xml:space="preserve">Financing fee</t>
  </si>
  <si>
    <t xml:space="preserve">Closing principal</t>
  </si>
  <si>
    <t xml:space="preserve">Lender cash flow</t>
  </si>
  <si>
    <t xml:space="preserve">Borrower debt service</t>
  </si>
  <si>
    <t xml:space="preserve">Lender</t>
  </si>
  <si>
    <t xml:space="preserve">LTV capacity</t>
  </si>
  <si>
    <t xml:space="preserve">LTC capacity</t>
  </si>
  <si>
    <t xml:space="preserve">DSCR capacity</t>
  </si>
  <si>
    <t xml:space="preserve">Debt yield capacity</t>
  </si>
  <si>
    <t xml:space="preserve">Sized commitment</t>
  </si>
  <si>
    <t xml:space="preserve">Commitment equals the tightest LTV, LTC, DSCR or debt yield constraint. Acquisition / refinance payments amortize monthly with a term balloon. Construction draws occur pro rata to eligible costs; interest is equity-funded.</t>
  </si>
  <si>
    <t xml:space="preserve">Sensitivity</t>
  </si>
  <si>
    <t xml:space="preserve">Gross value sensitivity: forward annual income vs capitalization / yield. This isolates valuation; it is not a full-model IRR sensitivity.</t>
  </si>
  <si>
    <t xml:space="preserve">Checks</t>
  </si>
  <si>
    <t xml:space="preserve">Debt roll-forward (zero)</t>
  </si>
  <si>
    <t xml:space="preserve">Maturity principal (zero)</t>
  </si>
  <si>
    <t xml:space="preserve">No overdrawn commitment</t>
  </si>
  <si>
    <t xml:space="preserve">Dashboard IRR calculation</t>
  </si>
  <si>
    <t xml:space="preserve">ReadMe</t>
  </si>
  <si>
    <t xml:space="preserve">Refinancing — editable, formula-driven underwriting workbook. Change the yellow / blue cells in Assumptions. Select case 2 for a downside through the same schedules.</t>
  </si>
  <si>
    <t xml:space="preserve">Inputs are illustrative, not researched market evidence. All values are EUR, nominal and before income tax / VAT. Acquisition costs are an explicit assumption. No macros, external links or hidden worksheets.</t>
  </si>
  <si>
    <t xml:space="preserve">Cash flow timing is stated on the forecast. Review financing covenants, operating assumptions and local taxes for your project. IRR may be undefined or non-unique for cash flows with multiple sign changes.</t>
  </si>
  <si>
    <t xml:space="preserve">Blue = editable input; green = linked assumption; dark = calculated output. Negative values are parenthesized. Checks are diagnostic only and do not drive the model. FormulaPlanet free-use licence: use and edit for your own organisation, studies and client analysis; do not sell or redistribute the original files.</t>
  </si>
  <si>
    <t xml:space="preserve">Term is an integer from 1 to 60 months. Amortization must exceed the term for a balloon loan. Construction duration must not exceed term. Capitalized interest / circular interest reserves are excluded; the dashboard shows total equity-funded interest separately.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</si>
</sst>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–"/>
    <numFmt numFmtId="166" formatCode="0.0%;\(0.0%\);\–"/>
    <numFmt numFmtId="167" formatCode="0.00\x"/>
    <numFmt numFmtId="168" formatCode="@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93D30"/>
      <name val="Arial"/>
      <family val="0"/>
      <charset val="1"/>
    </font>
    <font>
      <b val="true"/>
      <sz val="19"/>
      <color rgb="FFFFFFFF"/>
      <name val="Arial"/>
      <family val="0"/>
      <charset val="1"/>
    </font>
    <font>
      <b val="true"/>
      <sz val="11"/>
      <color rgb="FF193D30"/>
      <name val="Arial"/>
      <family val="0"/>
      <charset val="1"/>
    </font>
    <font>
      <sz val="11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93D30"/>
        <bgColor rgb="FF003300"/>
      </patternFill>
    </fill>
    <fill>
      <patternFill patternType="solid">
        <fgColor rgb="FFE7EFDF"/>
        <bgColor rgb="FFF2F5ED"/>
      </patternFill>
    </fill>
    <fill>
      <patternFill patternType="solid">
        <fgColor rgb="FFF2F5ED"/>
        <bgColor rgb="FFE7EFDF"/>
      </patternFill>
    </fill>
    <fill>
      <patternFill patternType="solid">
        <fgColor rgb="FFFFF6D6"/>
        <bgColor rgb="FFF2F5ED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name val="Arial"/>
        <charset val="1"/>
        <family val="0"/>
        <b val="1"/>
        <color rgb="FFB42318"/>
        <sz val="11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F2F5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7EFDF"/>
      <rgbColor rgb="FFFCE8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93D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4" t="s">
        <v>3</v>
      </c>
      <c r="C8" s="5" t="n">
        <f aca="false">Lender!C12</f>
        <v>8400000</v>
      </c>
      <c r="D8" s="6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7" t="s">
        <v>4</v>
      </c>
      <c r="C9" s="8" t="n">
        <f aca="false">C8*(1-Assumptions!$E$18)-Assumptions!$E$19</f>
        <v>1816000</v>
      </c>
      <c r="D9" s="9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4" t="s">
        <v>5</v>
      </c>
      <c r="C10" s="5" t="n">
        <f aca="false">SUM('Debt schedule'!C10:BK10)</f>
        <v>2401574.35600913</v>
      </c>
      <c r="D10" s="6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7" t="s">
        <v>6</v>
      </c>
      <c r="C11" s="8" t="n">
        <f aca="false">C8*Assumptions!$E$18</f>
        <v>84000</v>
      </c>
      <c r="D11" s="9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4" t="s">
        <v>7</v>
      </c>
      <c r="C12" s="10" t="n">
        <f aca="false">(1+IFERROR(IRR('Debt schedule'!C15:BK15),IRR('Debt schedule'!C15:BK15,0)))^12-1</f>
        <v>0.0642604209888147</v>
      </c>
      <c r="D12" s="6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7" t="s">
        <v>8</v>
      </c>
      <c r="C13" s="8" t="n">
        <f aca="false">SUM('Debt schedule'!C12:BK12)</f>
        <v>7554295.29252216</v>
      </c>
      <c r="D13" s="9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4" t="s">
        <v>9</v>
      </c>
      <c r="C14" s="10" t="n">
        <f aca="false">Assumptions!$E$10/C8</f>
        <v>0.113095238095238</v>
      </c>
      <c r="D14" s="6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7" t="s">
        <v>10</v>
      </c>
      <c r="C15" s="11" t="n">
        <f aca="false">C8/Assumptions!$E$8</f>
        <v>0.525</v>
      </c>
      <c r="D15" s="9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4" t="s">
        <v>11</v>
      </c>
      <c r="C16" s="10" t="n">
        <f aca="false">C8/Assumptions!$E$9</f>
        <v>0.7</v>
      </c>
      <c r="D16" s="6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2" t="s">
        <v>12</v>
      </c>
      <c r="C26" s="12"/>
      <c r="D26" s="12"/>
      <c r="E26" s="12"/>
      <c r="F26" s="12"/>
      <c r="G26" s="12"/>
      <c r="H26" s="12"/>
      <c r="I26" s="12"/>
      <c r="J26" s="12"/>
      <c r="K26" s="12"/>
    </row>
    <row r="27" customFormat="false" ht="25" hidden="false" customHeight="true" outlineLevel="0" collapsed="false">
      <c r="A27" s="1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26:K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13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/>
      <c r="C5" s="3"/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14</v>
      </c>
      <c r="C6" s="13" t="n">
        <v>1</v>
      </c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 t="s">
        <v>15</v>
      </c>
      <c r="D7" s="3" t="s">
        <v>16</v>
      </c>
      <c r="E7" s="3" t="s">
        <v>17</v>
      </c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18</v>
      </c>
      <c r="C8" s="14" t="n">
        <v>16000000</v>
      </c>
      <c r="D8" s="14" t="n">
        <v>14000000</v>
      </c>
      <c r="E8" s="3" t="n">
        <f aca="false">IF($C$6=2,D8,C8)</f>
        <v>16000000</v>
      </c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19</v>
      </c>
      <c r="C9" s="14" t="n">
        <v>12000000</v>
      </c>
      <c r="D9" s="14" t="n">
        <v>13200000</v>
      </c>
      <c r="E9" s="3" t="n">
        <f aca="false">IF($C$6=2,D9,C9)</f>
        <v>12000000</v>
      </c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20</v>
      </c>
      <c r="C10" s="14" t="n">
        <v>950000</v>
      </c>
      <c r="D10" s="14" t="n">
        <v>807500</v>
      </c>
      <c r="E10" s="3" t="n">
        <f aca="false">IF($C$6=2,D10,C10)</f>
        <v>950000</v>
      </c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 t="s">
        <v>21</v>
      </c>
      <c r="C11" s="15" t="n">
        <v>0.65</v>
      </c>
      <c r="D11" s="15" t="n">
        <v>0.65</v>
      </c>
      <c r="E11" s="16" t="n">
        <f aca="false">IF($C$6=2,D11,C11)</f>
        <v>0.65</v>
      </c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22</v>
      </c>
      <c r="C12" s="15" t="n">
        <v>0.7</v>
      </c>
      <c r="D12" s="15" t="n">
        <v>0.7</v>
      </c>
      <c r="E12" s="16" t="n">
        <f aca="false">IF($C$6=2,D12,C12)</f>
        <v>0.7</v>
      </c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 t="s">
        <v>23</v>
      </c>
      <c r="C13" s="17" t="n">
        <v>1.3</v>
      </c>
      <c r="D13" s="17" t="n">
        <v>1.3</v>
      </c>
      <c r="E13" s="18" t="n">
        <f aca="false">IF($C$6=2,D13,C13)</f>
        <v>1.3</v>
      </c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 t="s">
        <v>24</v>
      </c>
      <c r="C14" s="15" t="n">
        <v>0.09</v>
      </c>
      <c r="D14" s="15" t="n">
        <v>0.09</v>
      </c>
      <c r="E14" s="16" t="n">
        <f aca="false">IF($C$6=2,D14,C14)</f>
        <v>0.09</v>
      </c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 t="s">
        <v>25</v>
      </c>
      <c r="C15" s="15" t="n">
        <v>0.06</v>
      </c>
      <c r="D15" s="15" t="n">
        <v>0.075</v>
      </c>
      <c r="E15" s="16" t="n">
        <f aca="false">IF($C$6=2,D15,C15)</f>
        <v>0.06</v>
      </c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 t="s">
        <v>26</v>
      </c>
      <c r="C16" s="14" t="n">
        <v>25</v>
      </c>
      <c r="D16" s="14" t="n">
        <v>25</v>
      </c>
      <c r="E16" s="3" t="n">
        <f aca="false">IF($C$6=2,D16,C16)</f>
        <v>25</v>
      </c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 t="s">
        <v>27</v>
      </c>
      <c r="C17" s="14" t="n">
        <v>60</v>
      </c>
      <c r="D17" s="14" t="n">
        <v>60</v>
      </c>
      <c r="E17" s="3" t="n">
        <f aca="false">IF($C$6=2,D17,C17)</f>
        <v>60</v>
      </c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 t="s">
        <v>28</v>
      </c>
      <c r="C18" s="15" t="n">
        <v>0.01</v>
      </c>
      <c r="D18" s="15" t="n">
        <v>0.01</v>
      </c>
      <c r="E18" s="16" t="n">
        <f aca="false">IF($C$6=2,D18,C18)</f>
        <v>0.01</v>
      </c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 t="s">
        <v>29</v>
      </c>
      <c r="C19" s="14" t="n">
        <v>6500000</v>
      </c>
      <c r="D19" s="14" t="n">
        <v>6500000</v>
      </c>
      <c r="E19" s="3" t="n">
        <f aca="false">IF($C$6=2,D19,C19)</f>
        <v>6500000</v>
      </c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 t="s">
        <v>30</v>
      </c>
      <c r="C20" s="15" t="n">
        <v>0.06</v>
      </c>
      <c r="D20" s="15" t="n">
        <v>0.07</v>
      </c>
      <c r="E20" s="16" t="n">
        <f aca="false">IF($C$6=2,D20,C20)</f>
        <v>0.06</v>
      </c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 t="s">
        <v>31</v>
      </c>
      <c r="C21" s="15" t="n">
        <v>0.06</v>
      </c>
      <c r="D21" s="15" t="n">
        <v>0.06</v>
      </c>
      <c r="E21" s="16" t="n">
        <f aca="false">IF($C$6=2,D21,C21)</f>
        <v>0.06</v>
      </c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 t="s">
        <v>32</v>
      </c>
      <c r="C22" s="14" t="n">
        <v>24</v>
      </c>
      <c r="D22" s="14" t="n">
        <v>24</v>
      </c>
      <c r="E22" s="3" t="n">
        <f aca="false">IF($C$6=2,D22,C22)</f>
        <v>24</v>
      </c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dataValidations count="1">
    <dataValidation allowBlank="false" errorStyle="stop" operator="between" showDropDown="false" showErrorMessage="false" showInputMessage="false" sqref="C6" type="list">
      <formula1>"1,2"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34</v>
      </c>
      <c r="C6" s="3" t="n">
        <f aca="false">0</f>
        <v>0</v>
      </c>
      <c r="D6" s="3" t="n">
        <f aca="false">1</f>
        <v>1</v>
      </c>
      <c r="E6" s="3" t="n">
        <f aca="false">2</f>
        <v>2</v>
      </c>
      <c r="F6" s="3" t="n">
        <f aca="false">3</f>
        <v>3</v>
      </c>
      <c r="G6" s="3" t="n">
        <f aca="false">4</f>
        <v>4</v>
      </c>
      <c r="H6" s="3" t="n">
        <f aca="false">5</f>
        <v>5</v>
      </c>
      <c r="I6" s="3" t="n">
        <f aca="false">6</f>
        <v>6</v>
      </c>
      <c r="J6" s="3" t="n">
        <f aca="false">7</f>
        <v>7</v>
      </c>
      <c r="K6" s="3" t="n">
        <f aca="false">8</f>
        <v>8</v>
      </c>
      <c r="L6" s="0" t="n">
        <f aca="false">9</f>
        <v>9</v>
      </c>
      <c r="M6" s="0" t="n">
        <f aca="false">10</f>
        <v>10</v>
      </c>
      <c r="N6" s="0" t="n">
        <f aca="false">11</f>
        <v>11</v>
      </c>
      <c r="O6" s="0" t="n">
        <f aca="false">12</f>
        <v>12</v>
      </c>
      <c r="P6" s="0" t="n">
        <f aca="false">13</f>
        <v>13</v>
      </c>
      <c r="Q6" s="0" t="n">
        <f aca="false">14</f>
        <v>14</v>
      </c>
      <c r="R6" s="0" t="n">
        <f aca="false">15</f>
        <v>15</v>
      </c>
      <c r="S6" s="0" t="n">
        <f aca="false">16</f>
        <v>16</v>
      </c>
      <c r="T6" s="0" t="n">
        <f aca="false">17</f>
        <v>17</v>
      </c>
      <c r="U6" s="0" t="n">
        <f aca="false">18</f>
        <v>18</v>
      </c>
      <c r="V6" s="0" t="n">
        <f aca="false">19</f>
        <v>19</v>
      </c>
      <c r="W6" s="0" t="n">
        <f aca="false">20</f>
        <v>20</v>
      </c>
      <c r="X6" s="0" t="n">
        <f aca="false">21</f>
        <v>21</v>
      </c>
      <c r="Y6" s="0" t="n">
        <f aca="false">22</f>
        <v>22</v>
      </c>
      <c r="Z6" s="0" t="n">
        <f aca="false">23</f>
        <v>23</v>
      </c>
      <c r="AA6" s="0" t="n">
        <f aca="false">24</f>
        <v>24</v>
      </c>
      <c r="AB6" s="0" t="n">
        <f aca="false">25</f>
        <v>25</v>
      </c>
      <c r="AC6" s="0" t="n">
        <f aca="false">26</f>
        <v>26</v>
      </c>
      <c r="AD6" s="0" t="n">
        <f aca="false">27</f>
        <v>27</v>
      </c>
      <c r="AE6" s="0" t="n">
        <f aca="false">28</f>
        <v>28</v>
      </c>
      <c r="AF6" s="0" t="n">
        <f aca="false">29</f>
        <v>29</v>
      </c>
      <c r="AG6" s="0" t="n">
        <f aca="false">30</f>
        <v>30</v>
      </c>
      <c r="AH6" s="0" t="n">
        <f aca="false">31</f>
        <v>31</v>
      </c>
      <c r="AI6" s="0" t="n">
        <f aca="false">32</f>
        <v>32</v>
      </c>
      <c r="AJ6" s="0" t="n">
        <f aca="false">33</f>
        <v>33</v>
      </c>
      <c r="AK6" s="0" t="n">
        <f aca="false">34</f>
        <v>34</v>
      </c>
      <c r="AL6" s="0" t="n">
        <f aca="false">35</f>
        <v>35</v>
      </c>
      <c r="AM6" s="0" t="n">
        <f aca="false">36</f>
        <v>36</v>
      </c>
      <c r="AN6" s="0" t="n">
        <f aca="false">37</f>
        <v>37</v>
      </c>
      <c r="AO6" s="0" t="n">
        <f aca="false">38</f>
        <v>38</v>
      </c>
      <c r="AP6" s="0" t="n">
        <f aca="false">39</f>
        <v>39</v>
      </c>
      <c r="AQ6" s="0" t="n">
        <f aca="false">40</f>
        <v>40</v>
      </c>
      <c r="AR6" s="0" t="n">
        <f aca="false">41</f>
        <v>41</v>
      </c>
      <c r="AS6" s="0" t="n">
        <f aca="false">42</f>
        <v>42</v>
      </c>
      <c r="AT6" s="0" t="n">
        <f aca="false">43</f>
        <v>43</v>
      </c>
      <c r="AU6" s="0" t="n">
        <f aca="false">44</f>
        <v>44</v>
      </c>
      <c r="AV6" s="0" t="n">
        <f aca="false">45</f>
        <v>45</v>
      </c>
      <c r="AW6" s="0" t="n">
        <f aca="false">46</f>
        <v>46</v>
      </c>
      <c r="AX6" s="0" t="n">
        <f aca="false">47</f>
        <v>47</v>
      </c>
      <c r="AY6" s="0" t="n">
        <f aca="false">48</f>
        <v>48</v>
      </c>
      <c r="AZ6" s="0" t="n">
        <f aca="false">49</f>
        <v>49</v>
      </c>
      <c r="BA6" s="0" t="n">
        <f aca="false">50</f>
        <v>50</v>
      </c>
      <c r="BB6" s="0" t="n">
        <f aca="false">51</f>
        <v>51</v>
      </c>
      <c r="BC6" s="0" t="n">
        <f aca="false">52</f>
        <v>52</v>
      </c>
      <c r="BD6" s="0" t="n">
        <f aca="false">53</f>
        <v>53</v>
      </c>
      <c r="BE6" s="0" t="n">
        <f aca="false">54</f>
        <v>54</v>
      </c>
      <c r="BF6" s="0" t="n">
        <f aca="false">55</f>
        <v>55</v>
      </c>
      <c r="BG6" s="0" t="n">
        <f aca="false">56</f>
        <v>56</v>
      </c>
      <c r="BH6" s="0" t="n">
        <f aca="false">57</f>
        <v>57</v>
      </c>
      <c r="BI6" s="0" t="n">
        <f aca="false">58</f>
        <v>58</v>
      </c>
      <c r="BJ6" s="0" t="n">
        <f aca="false">59</f>
        <v>59</v>
      </c>
      <c r="BK6" s="0" t="n">
        <f aca="false">60</f>
        <v>60</v>
      </c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35</v>
      </c>
      <c r="C8" s="3" t="n">
        <f aca="false">0</f>
        <v>0</v>
      </c>
      <c r="D8" s="3" t="n">
        <f aca="false">C14</f>
        <v>8400000</v>
      </c>
      <c r="E8" s="3" t="n">
        <f aca="false">D14</f>
        <v>8387878.68227522</v>
      </c>
      <c r="F8" s="3" t="n">
        <f aca="false">E14</f>
        <v>8375696.75796181</v>
      </c>
      <c r="G8" s="3" t="n">
        <f aca="false">F14</f>
        <v>8363453.92402684</v>
      </c>
      <c r="H8" s="3" t="n">
        <f aca="false">G14</f>
        <v>8351149.87592219</v>
      </c>
      <c r="I8" s="3" t="n">
        <f aca="false">H14</f>
        <v>8338784.30757702</v>
      </c>
      <c r="J8" s="3" t="n">
        <f aca="false">I14</f>
        <v>8326356.91139012</v>
      </c>
      <c r="K8" s="3" t="n">
        <f aca="false">J14</f>
        <v>8313867.37822229</v>
      </c>
      <c r="L8" s="0" t="n">
        <f aca="false">K14</f>
        <v>8301315.39738862</v>
      </c>
      <c r="M8" s="0" t="n">
        <f aca="false">L14</f>
        <v>8288700.65665078</v>
      </c>
      <c r="N8" s="0" t="n">
        <f aca="false">M14</f>
        <v>8276022.84220925</v>
      </c>
      <c r="O8" s="0" t="n">
        <f aca="false">N14</f>
        <v>8263281.63869551</v>
      </c>
      <c r="P8" s="0" t="n">
        <f aca="false">O14</f>
        <v>8250476.72916421</v>
      </c>
      <c r="Q8" s="0" t="n">
        <f aca="false">P14</f>
        <v>8237607.79508524</v>
      </c>
      <c r="R8" s="0" t="n">
        <f aca="false">Q14</f>
        <v>8224674.51633589</v>
      </c>
      <c r="S8" s="0" t="n">
        <f aca="false">R14</f>
        <v>8211676.57119278</v>
      </c>
      <c r="T8" s="0" t="n">
        <f aca="false">S14</f>
        <v>8198613.63632396</v>
      </c>
      <c r="U8" s="0" t="n">
        <f aca="false">T14</f>
        <v>8185485.3867808</v>
      </c>
      <c r="V8" s="0" t="n">
        <f aca="false">U14</f>
        <v>8172291.49598992</v>
      </c>
      <c r="W8" s="0" t="n">
        <f aca="false">V14</f>
        <v>8159031.63574509</v>
      </c>
      <c r="X8" s="0" t="n">
        <f aca="false">W14</f>
        <v>8145705.47619903</v>
      </c>
      <c r="Y8" s="0" t="n">
        <f aca="false">X14</f>
        <v>8132312.68585524</v>
      </c>
      <c r="Z8" s="0" t="n">
        <f aca="false">Y14</f>
        <v>8118852.93155974</v>
      </c>
      <c r="AA8" s="0" t="n">
        <f aca="false">Z14</f>
        <v>8105325.87849275</v>
      </c>
      <c r="AB8" s="0" t="n">
        <f aca="false">AA14</f>
        <v>8091731.19016044</v>
      </c>
      <c r="AC8" s="0" t="n">
        <f aca="false">AB14</f>
        <v>8078068.52838645</v>
      </c>
      <c r="AD8" s="0" t="n">
        <f aca="false">AC14</f>
        <v>8064337.5533036</v>
      </c>
      <c r="AE8" s="0" t="n">
        <f aca="false">AD14</f>
        <v>8050537.92334534</v>
      </c>
      <c r="AF8" s="0" t="n">
        <f aca="false">AE14</f>
        <v>8036669.29523728</v>
      </c>
      <c r="AG8" s="0" t="n">
        <f aca="false">AF14</f>
        <v>8022731.32398869</v>
      </c>
      <c r="AH8" s="0" t="n">
        <f aca="false">AG14</f>
        <v>8008723.66288385</v>
      </c>
      <c r="AI8" s="0" t="n">
        <f aca="false">AH14</f>
        <v>7994645.96347349</v>
      </c>
      <c r="AJ8" s="0" t="n">
        <f aca="false">AI14</f>
        <v>7980497.87556607</v>
      </c>
      <c r="AK8" s="0" t="n">
        <f aca="false">AJ14</f>
        <v>7966279.04721912</v>
      </c>
      <c r="AL8" s="0" t="n">
        <f aca="false">AK14</f>
        <v>7951989.12473043</v>
      </c>
      <c r="AM8" s="0" t="n">
        <f aca="false">AL14</f>
        <v>7937627.7526293</v>
      </c>
      <c r="AN8" s="0" t="n">
        <f aca="false">AM14</f>
        <v>7923194.57366766</v>
      </c>
      <c r="AO8" s="0" t="n">
        <f aca="false">AN14</f>
        <v>7908689.22881122</v>
      </c>
      <c r="AP8" s="0" t="n">
        <f aca="false">AO14</f>
        <v>7894111.35723049</v>
      </c>
      <c r="AQ8" s="0" t="n">
        <f aca="false">AP14</f>
        <v>7879460.59629186</v>
      </c>
      <c r="AR8" s="0" t="n">
        <f aca="false">AQ14</f>
        <v>7864736.58154854</v>
      </c>
      <c r="AS8" s="0" t="n">
        <f aca="false">AR14</f>
        <v>7849938.9467315</v>
      </c>
      <c r="AT8" s="0" t="n">
        <f aca="false">AS14</f>
        <v>7835067.32374037</v>
      </c>
      <c r="AU8" s="0" t="n">
        <f aca="false">AT14</f>
        <v>7820121.34263429</v>
      </c>
      <c r="AV8" s="0" t="n">
        <f aca="false">AU14</f>
        <v>7805100.63162268</v>
      </c>
      <c r="AW8" s="0" t="n">
        <f aca="false">AV14</f>
        <v>7790004.81705601</v>
      </c>
      <c r="AX8" s="0" t="n">
        <f aca="false">AW14</f>
        <v>7774833.52341651</v>
      </c>
      <c r="AY8" s="0" t="n">
        <f aca="false">AX14</f>
        <v>7759586.37330881</v>
      </c>
      <c r="AZ8" s="0" t="n">
        <f aca="false">AY14</f>
        <v>7744262.98745057</v>
      </c>
      <c r="BA8" s="0" t="n">
        <f aca="false">AZ14</f>
        <v>7728862.98466304</v>
      </c>
      <c r="BB8" s="0" t="n">
        <f aca="false">BA14</f>
        <v>7713385.98186157</v>
      </c>
      <c r="BC8" s="0" t="n">
        <f aca="false">BB14</f>
        <v>7697831.5940461</v>
      </c>
      <c r="BD8" s="0" t="n">
        <f aca="false">BC14</f>
        <v>7682199.43429155</v>
      </c>
      <c r="BE8" s="0" t="n">
        <f aca="false">BD14</f>
        <v>7666489.11373822</v>
      </c>
      <c r="BF8" s="0" t="n">
        <f aca="false">BE14</f>
        <v>7650700.24158213</v>
      </c>
      <c r="BG8" s="0" t="n">
        <f aca="false">BF14</f>
        <v>7634832.42506526</v>
      </c>
      <c r="BH8" s="0" t="n">
        <f aca="false">BG14</f>
        <v>7618885.2694658</v>
      </c>
      <c r="BI8" s="0" t="n">
        <f aca="false">BH14</f>
        <v>7602858.37808835</v>
      </c>
      <c r="BJ8" s="0" t="n">
        <f aca="false">BI14</f>
        <v>7586751.35225401</v>
      </c>
      <c r="BK8" s="0" t="n">
        <f aca="false">BJ14</f>
        <v>7570563.79129049</v>
      </c>
    </row>
    <row r="9" customFormat="false" ht="25" hidden="false" customHeight="true" outlineLevel="0" collapsed="false">
      <c r="A9" s="1"/>
      <c r="B9" s="1" t="s">
        <v>36</v>
      </c>
      <c r="C9" s="3" t="n">
        <f aca="false">Lender!$C$12</f>
        <v>8400000</v>
      </c>
      <c r="D9" s="3" t="n">
        <f aca="false">0</f>
        <v>0</v>
      </c>
      <c r="E9" s="3" t="n">
        <f aca="false">0</f>
        <v>0</v>
      </c>
      <c r="F9" s="3" t="n">
        <f aca="false">0</f>
        <v>0</v>
      </c>
      <c r="G9" s="3" t="n">
        <f aca="false">0</f>
        <v>0</v>
      </c>
      <c r="H9" s="3" t="n">
        <f aca="false">0</f>
        <v>0</v>
      </c>
      <c r="I9" s="3" t="n">
        <f aca="false">0</f>
        <v>0</v>
      </c>
      <c r="J9" s="3" t="n">
        <f aca="false">0</f>
        <v>0</v>
      </c>
      <c r="K9" s="3" t="n">
        <f aca="false">0</f>
        <v>0</v>
      </c>
      <c r="L9" s="0" t="n">
        <f aca="false">0</f>
        <v>0</v>
      </c>
      <c r="M9" s="0" t="n">
        <f aca="false">0</f>
        <v>0</v>
      </c>
      <c r="N9" s="0" t="n">
        <f aca="false">0</f>
        <v>0</v>
      </c>
      <c r="O9" s="0" t="n">
        <f aca="false">0</f>
        <v>0</v>
      </c>
      <c r="P9" s="0" t="n">
        <f aca="false">0</f>
        <v>0</v>
      </c>
      <c r="Q9" s="0" t="n">
        <f aca="false">0</f>
        <v>0</v>
      </c>
      <c r="R9" s="0" t="n">
        <f aca="false">0</f>
        <v>0</v>
      </c>
      <c r="S9" s="0" t="n">
        <f aca="false">0</f>
        <v>0</v>
      </c>
      <c r="T9" s="0" t="n">
        <f aca="false">0</f>
        <v>0</v>
      </c>
      <c r="U9" s="0" t="n">
        <f aca="false">0</f>
        <v>0</v>
      </c>
      <c r="V9" s="0" t="n">
        <f aca="false">0</f>
        <v>0</v>
      </c>
      <c r="W9" s="0" t="n">
        <f aca="false">0</f>
        <v>0</v>
      </c>
      <c r="X9" s="0" t="n">
        <f aca="false">0</f>
        <v>0</v>
      </c>
      <c r="Y9" s="0" t="n">
        <f aca="false">0</f>
        <v>0</v>
      </c>
      <c r="Z9" s="0" t="n">
        <f aca="false">0</f>
        <v>0</v>
      </c>
      <c r="AA9" s="0" t="n">
        <f aca="false">0</f>
        <v>0</v>
      </c>
      <c r="AB9" s="0" t="n">
        <f aca="false">0</f>
        <v>0</v>
      </c>
      <c r="AC9" s="0" t="n">
        <f aca="false">0</f>
        <v>0</v>
      </c>
      <c r="AD9" s="0" t="n">
        <f aca="false">0</f>
        <v>0</v>
      </c>
      <c r="AE9" s="0" t="n">
        <f aca="false">0</f>
        <v>0</v>
      </c>
      <c r="AF9" s="0" t="n">
        <f aca="false">0</f>
        <v>0</v>
      </c>
      <c r="AG9" s="0" t="n">
        <f aca="false">0</f>
        <v>0</v>
      </c>
      <c r="AH9" s="0" t="n">
        <f aca="false">0</f>
        <v>0</v>
      </c>
      <c r="AI9" s="0" t="n">
        <f aca="false">0</f>
        <v>0</v>
      </c>
      <c r="AJ9" s="0" t="n">
        <f aca="false">0</f>
        <v>0</v>
      </c>
      <c r="AK9" s="0" t="n">
        <f aca="false">0</f>
        <v>0</v>
      </c>
      <c r="AL9" s="0" t="n">
        <f aca="false">0</f>
        <v>0</v>
      </c>
      <c r="AM9" s="0" t="n">
        <f aca="false">0</f>
        <v>0</v>
      </c>
      <c r="AN9" s="0" t="n">
        <f aca="false">0</f>
        <v>0</v>
      </c>
      <c r="AO9" s="0" t="n">
        <f aca="false">0</f>
        <v>0</v>
      </c>
      <c r="AP9" s="0" t="n">
        <f aca="false">0</f>
        <v>0</v>
      </c>
      <c r="AQ9" s="0" t="n">
        <f aca="false">0</f>
        <v>0</v>
      </c>
      <c r="AR9" s="0" t="n">
        <f aca="false">0</f>
        <v>0</v>
      </c>
      <c r="AS9" s="0" t="n">
        <f aca="false">0</f>
        <v>0</v>
      </c>
      <c r="AT9" s="0" t="n">
        <f aca="false">0</f>
        <v>0</v>
      </c>
      <c r="AU9" s="0" t="n">
        <f aca="false">0</f>
        <v>0</v>
      </c>
      <c r="AV9" s="0" t="n">
        <f aca="false">0</f>
        <v>0</v>
      </c>
      <c r="AW9" s="0" t="n">
        <f aca="false">0</f>
        <v>0</v>
      </c>
      <c r="AX9" s="0" t="n">
        <f aca="false">0</f>
        <v>0</v>
      </c>
      <c r="AY9" s="0" t="n">
        <f aca="false">0</f>
        <v>0</v>
      </c>
      <c r="AZ9" s="0" t="n">
        <f aca="false">0</f>
        <v>0</v>
      </c>
      <c r="BA9" s="0" t="n">
        <f aca="false">0</f>
        <v>0</v>
      </c>
      <c r="BB9" s="0" t="n">
        <f aca="false">0</f>
        <v>0</v>
      </c>
      <c r="BC9" s="0" t="n">
        <f aca="false">0</f>
        <v>0</v>
      </c>
      <c r="BD9" s="0" t="n">
        <f aca="false">0</f>
        <v>0</v>
      </c>
      <c r="BE9" s="0" t="n">
        <f aca="false">0</f>
        <v>0</v>
      </c>
      <c r="BF9" s="0" t="n">
        <f aca="false">0</f>
        <v>0</v>
      </c>
      <c r="BG9" s="0" t="n">
        <f aca="false">0</f>
        <v>0</v>
      </c>
      <c r="BH9" s="0" t="n">
        <f aca="false">0</f>
        <v>0</v>
      </c>
      <c r="BI9" s="0" t="n">
        <f aca="false">0</f>
        <v>0</v>
      </c>
      <c r="BJ9" s="0" t="n">
        <f aca="false">0</f>
        <v>0</v>
      </c>
      <c r="BK9" s="0" t="n">
        <f aca="false">0</f>
        <v>0</v>
      </c>
    </row>
    <row r="10" customFormat="false" ht="25" hidden="false" customHeight="true" outlineLevel="0" collapsed="false">
      <c r="A10" s="1"/>
      <c r="B10" s="1" t="s">
        <v>37</v>
      </c>
      <c r="C10" s="3" t="n">
        <f aca="false">0</f>
        <v>0</v>
      </c>
      <c r="D10" s="3" t="n">
        <f aca="false">IF(D$6&lt;=Assumptions!$E$17,(D8+D9/2)*Assumptions!$E$15/12,0)</f>
        <v>42000</v>
      </c>
      <c r="E10" s="3" t="n">
        <f aca="false">IF(E$6&lt;=Assumptions!$E$17,(E8+E9/2)*Assumptions!$E$15/12,0)</f>
        <v>41939.3934113761</v>
      </c>
      <c r="F10" s="3" t="n">
        <f aca="false">IF(F$6&lt;=Assumptions!$E$17,(F8+F9/2)*Assumptions!$E$15/12,0)</f>
        <v>41878.4837898091</v>
      </c>
      <c r="G10" s="3" t="n">
        <f aca="false">IF(G$6&lt;=Assumptions!$E$17,(G8+G9/2)*Assumptions!$E$15/12,0)</f>
        <v>41817.2696201342</v>
      </c>
      <c r="H10" s="3" t="n">
        <f aca="false">IF(H$6&lt;=Assumptions!$E$17,(H8+H9/2)*Assumptions!$E$15/12,0)</f>
        <v>41755.7493796109</v>
      </c>
      <c r="I10" s="3" t="n">
        <f aca="false">IF(I$6&lt;=Assumptions!$E$17,(I8+I9/2)*Assumptions!$E$15/12,0)</f>
        <v>41693.9215378851</v>
      </c>
      <c r="J10" s="3" t="n">
        <f aca="false">IF(J$6&lt;=Assumptions!$E$17,(J8+J9/2)*Assumptions!$E$15/12,0)</f>
        <v>41631.7845569506</v>
      </c>
      <c r="K10" s="3" t="n">
        <f aca="false">IF(K$6&lt;=Assumptions!$E$17,(K8+K9/2)*Assumptions!$E$15/12,0)</f>
        <v>41569.3368911114</v>
      </c>
      <c r="L10" s="0" t="n">
        <f aca="false">IF(L$6&lt;=Assumptions!$E$17,(L8+L9/2)*Assumptions!$E$15/12,0)</f>
        <v>41506.5769869431</v>
      </c>
      <c r="M10" s="0" t="n">
        <f aca="false">IF(M$6&lt;=Assumptions!$E$17,(M8+M9/2)*Assumptions!$E$15/12,0)</f>
        <v>41443.5032832539</v>
      </c>
      <c r="N10" s="0" t="n">
        <f aca="false">IF(N$6&lt;=Assumptions!$E$17,(N8+N9/2)*Assumptions!$E$15/12,0)</f>
        <v>41380.1142110462</v>
      </c>
      <c r="O10" s="0" t="n">
        <f aca="false">IF(O$6&lt;=Assumptions!$E$17,(O8+O9/2)*Assumptions!$E$15/12,0)</f>
        <v>41316.4081934776</v>
      </c>
      <c r="P10" s="0" t="n">
        <f aca="false">IF(P$6&lt;=Assumptions!$E$17,(P8+P9/2)*Assumptions!$E$15/12,0)</f>
        <v>41252.383645821</v>
      </c>
      <c r="Q10" s="0" t="n">
        <f aca="false">IF(Q$6&lt;=Assumptions!$E$17,(Q8+Q9/2)*Assumptions!$E$15/12,0)</f>
        <v>41188.0389754262</v>
      </c>
      <c r="R10" s="0" t="n">
        <f aca="false">IF(R$6&lt;=Assumptions!$E$17,(R8+R9/2)*Assumptions!$E$15/12,0)</f>
        <v>41123.3725816794</v>
      </c>
      <c r="S10" s="0" t="n">
        <f aca="false">IF(S$6&lt;=Assumptions!$E$17,(S8+S9/2)*Assumptions!$E$15/12,0)</f>
        <v>41058.3828559639</v>
      </c>
      <c r="T10" s="0" t="n">
        <f aca="false">IF(T$6&lt;=Assumptions!$E$17,(T8+T9/2)*Assumptions!$E$15/12,0)</f>
        <v>40993.0681816198</v>
      </c>
      <c r="U10" s="0" t="n">
        <f aca="false">IF(U$6&lt;=Assumptions!$E$17,(U8+U9/2)*Assumptions!$E$15/12,0)</f>
        <v>40927.426933904</v>
      </c>
      <c r="V10" s="0" t="n">
        <f aca="false">IF(V$6&lt;=Assumptions!$E$17,(V8+V9/2)*Assumptions!$E$15/12,0)</f>
        <v>40861.4574799496</v>
      </c>
      <c r="W10" s="0" t="n">
        <f aca="false">IF(W$6&lt;=Assumptions!$E$17,(W8+W9/2)*Assumptions!$E$15/12,0)</f>
        <v>40795.1581787255</v>
      </c>
      <c r="X10" s="0" t="n">
        <f aca="false">IF(X$6&lt;=Assumptions!$E$17,(X8+X9/2)*Assumptions!$E$15/12,0)</f>
        <v>40728.5273809952</v>
      </c>
      <c r="Y10" s="0" t="n">
        <f aca="false">IF(Y$6&lt;=Assumptions!$E$17,(Y8+Y9/2)*Assumptions!$E$15/12,0)</f>
        <v>40661.5634292762</v>
      </c>
      <c r="Z10" s="0" t="n">
        <f aca="false">IF(Z$6&lt;=Assumptions!$E$17,(Z8+Z9/2)*Assumptions!$E$15/12,0)</f>
        <v>40594.2646577987</v>
      </c>
      <c r="AA10" s="0" t="n">
        <f aca="false">IF(AA$6&lt;=Assumptions!$E$17,(AA8+AA9/2)*Assumptions!$E$15/12,0)</f>
        <v>40526.6293924638</v>
      </c>
      <c r="AB10" s="0" t="n">
        <f aca="false">IF(AB$6&lt;=Assumptions!$E$17,(AB8+AB9/2)*Assumptions!$E$15/12,0)</f>
        <v>40458.6559508022</v>
      </c>
      <c r="AC10" s="0" t="n">
        <f aca="false">IF(AC$6&lt;=Assumptions!$E$17,(AC8+AC9/2)*Assumptions!$E$15/12,0)</f>
        <v>40390.3426419323</v>
      </c>
      <c r="AD10" s="0" t="n">
        <f aca="false">IF(AD$6&lt;=Assumptions!$E$17,(AD8+AD9/2)*Assumptions!$E$15/12,0)</f>
        <v>40321.687766518</v>
      </c>
      <c r="AE10" s="0" t="n">
        <f aca="false">IF(AE$6&lt;=Assumptions!$E$17,(AE8+AE9/2)*Assumptions!$E$15/12,0)</f>
        <v>40252.6896167267</v>
      </c>
      <c r="AF10" s="0" t="n">
        <f aca="false">IF(AF$6&lt;=Assumptions!$E$17,(AF8+AF9/2)*Assumptions!$E$15/12,0)</f>
        <v>40183.3464761864</v>
      </c>
      <c r="AG10" s="0" t="n">
        <f aca="false">IF(AG$6&lt;=Assumptions!$E$17,(AG8+AG9/2)*Assumptions!$E$15/12,0)</f>
        <v>40113.6566199434</v>
      </c>
      <c r="AH10" s="0" t="n">
        <f aca="false">IF(AH$6&lt;=Assumptions!$E$17,(AH8+AH9/2)*Assumptions!$E$15/12,0)</f>
        <v>40043.6183144192</v>
      </c>
      <c r="AI10" s="0" t="n">
        <f aca="false">IF(AI$6&lt;=Assumptions!$E$17,(AI8+AI9/2)*Assumptions!$E$15/12,0)</f>
        <v>39973.2298173674</v>
      </c>
      <c r="AJ10" s="0" t="n">
        <f aca="false">IF(AJ$6&lt;=Assumptions!$E$17,(AJ8+AJ9/2)*Assumptions!$E$15/12,0)</f>
        <v>39902.4893778303</v>
      </c>
      <c r="AK10" s="0" t="n">
        <f aca="false">IF(AK$6&lt;=Assumptions!$E$17,(AK8+AK9/2)*Assumptions!$E$15/12,0)</f>
        <v>39831.3952360956</v>
      </c>
      <c r="AL10" s="0" t="n">
        <f aca="false">IF(AL$6&lt;=Assumptions!$E$17,(AL8+AL9/2)*Assumptions!$E$15/12,0)</f>
        <v>39759.9456236521</v>
      </c>
      <c r="AM10" s="0" t="n">
        <f aca="false">IF(AM$6&lt;=Assumptions!$E$17,(AM8+AM9/2)*Assumptions!$E$15/12,0)</f>
        <v>39688.1387631465</v>
      </c>
      <c r="AN10" s="0" t="n">
        <f aca="false">IF(AN$6&lt;=Assumptions!$E$17,(AN8+AN9/2)*Assumptions!$E$15/12,0)</f>
        <v>39615.9728683383</v>
      </c>
      <c r="AO10" s="0" t="n">
        <f aca="false">IF(AO$6&lt;=Assumptions!$E$17,(AO8+AO9/2)*Assumptions!$E$15/12,0)</f>
        <v>39543.4461440561</v>
      </c>
      <c r="AP10" s="0" t="n">
        <f aca="false">IF(AP$6&lt;=Assumptions!$E$17,(AP8+AP9/2)*Assumptions!$E$15/12,0)</f>
        <v>39470.5567861525</v>
      </c>
      <c r="AQ10" s="0" t="n">
        <f aca="false">IF(AQ$6&lt;=Assumptions!$E$17,(AQ8+AQ9/2)*Assumptions!$E$15/12,0)</f>
        <v>39397.3029814593</v>
      </c>
      <c r="AR10" s="0" t="n">
        <f aca="false">IF(AR$6&lt;=Assumptions!$E$17,(AR8+AR9/2)*Assumptions!$E$15/12,0)</f>
        <v>39323.6829077427</v>
      </c>
      <c r="AS10" s="0" t="n">
        <f aca="false">IF(AS$6&lt;=Assumptions!$E$17,(AS8+AS9/2)*Assumptions!$E$15/12,0)</f>
        <v>39249.6947336575</v>
      </c>
      <c r="AT10" s="0" t="n">
        <f aca="false">IF(AT$6&lt;=Assumptions!$E$17,(AT8+AT9/2)*Assumptions!$E$15/12,0)</f>
        <v>39175.3366187019</v>
      </c>
      <c r="AU10" s="0" t="n">
        <f aca="false">IF(AU$6&lt;=Assumptions!$E$17,(AU8+AU9/2)*Assumptions!$E$15/12,0)</f>
        <v>39100.6067131715</v>
      </c>
      <c r="AV10" s="0" t="n">
        <f aca="false">IF(AV$6&lt;=Assumptions!$E$17,(AV8+AV9/2)*Assumptions!$E$15/12,0)</f>
        <v>39025.5031581134</v>
      </c>
      <c r="AW10" s="0" t="n">
        <f aca="false">IF(AW$6&lt;=Assumptions!$E$17,(AW8+AW9/2)*Assumptions!$E$15/12,0)</f>
        <v>38950.0240852801</v>
      </c>
      <c r="AX10" s="0" t="n">
        <f aca="false">IF(AX$6&lt;=Assumptions!$E$17,(AX8+AX9/2)*Assumptions!$E$15/12,0)</f>
        <v>38874.1676170825</v>
      </c>
      <c r="AY10" s="0" t="n">
        <f aca="false">IF(AY$6&lt;=Assumptions!$E$17,(AY8+AY9/2)*Assumptions!$E$15/12,0)</f>
        <v>38797.931866544</v>
      </c>
      <c r="AZ10" s="0" t="n">
        <f aca="false">IF(AZ$6&lt;=Assumptions!$E$17,(AZ8+AZ9/2)*Assumptions!$E$15/12,0)</f>
        <v>38721.3149372529</v>
      </c>
      <c r="BA10" s="0" t="n">
        <f aca="false">IF(BA$6&lt;=Assumptions!$E$17,(BA8+BA9/2)*Assumptions!$E$15/12,0)</f>
        <v>38644.3149233152</v>
      </c>
      <c r="BB10" s="0" t="n">
        <f aca="false">IF(BB$6&lt;=Assumptions!$E$17,(BB8+BB9/2)*Assumptions!$E$15/12,0)</f>
        <v>38566.9299093079</v>
      </c>
      <c r="BC10" s="0" t="n">
        <f aca="false">IF(BC$6&lt;=Assumptions!$E$17,(BC8+BC9/2)*Assumptions!$E$15/12,0)</f>
        <v>38489.1579702305</v>
      </c>
      <c r="BD10" s="0" t="n">
        <f aca="false">IF(BD$6&lt;=Assumptions!$E$17,(BD8+BD9/2)*Assumptions!$E$15/12,0)</f>
        <v>38410.9971714577</v>
      </c>
      <c r="BE10" s="0" t="n">
        <f aca="false">IF(BE$6&lt;=Assumptions!$E$17,(BE8+BE9/2)*Assumptions!$E$15/12,0)</f>
        <v>38332.4455686911</v>
      </c>
      <c r="BF10" s="0" t="n">
        <f aca="false">IF(BF$6&lt;=Assumptions!$E$17,(BF8+BF9/2)*Assumptions!$E$15/12,0)</f>
        <v>38253.5012079106</v>
      </c>
      <c r="BG10" s="0" t="n">
        <f aca="false">IF(BG$6&lt;=Assumptions!$E$17,(BG8+BG9/2)*Assumptions!$E$15/12,0)</f>
        <v>38174.1621253263</v>
      </c>
      <c r="BH10" s="0" t="n">
        <f aca="false">IF(BH$6&lt;=Assumptions!$E$17,(BH8+BH9/2)*Assumptions!$E$15/12,0)</f>
        <v>38094.426347329</v>
      </c>
      <c r="BI10" s="0" t="n">
        <f aca="false">IF(BI$6&lt;=Assumptions!$E$17,(BI8+BI9/2)*Assumptions!$E$15/12,0)</f>
        <v>38014.2918904417</v>
      </c>
      <c r="BJ10" s="0" t="n">
        <f aca="false">IF(BJ$6&lt;=Assumptions!$E$17,(BJ8+BJ9/2)*Assumptions!$E$15/12,0)</f>
        <v>37933.75676127</v>
      </c>
      <c r="BK10" s="0" t="n">
        <f aca="false">IF(BK$6&lt;=Assumptions!$E$17,(BK8+BK9/2)*Assumptions!$E$15/12,0)</f>
        <v>37852.8189564525</v>
      </c>
    </row>
    <row r="11" customFormat="false" ht="25" hidden="false" customHeight="true" outlineLevel="0" collapsed="false">
      <c r="A11" s="1"/>
      <c r="B11" s="1" t="s">
        <v>38</v>
      </c>
      <c r="C11" s="3" t="n">
        <f aca="false">0</f>
        <v>0</v>
      </c>
      <c r="D11" s="3" t="n">
        <f aca="false">IF(D$6&lt;=Assumptions!$E$17,MIN(D8,MAX(0,-PMT(Assumptions!$E$15/12,Assumptions!$E$16*12,Lender!$C$12)-D10)),0)</f>
        <v>12121.3177247827</v>
      </c>
      <c r="E11" s="3" t="n">
        <f aca="false">IF(E$6&lt;=Assumptions!$E$17,MIN(E8,MAX(0,-PMT(Assumptions!$E$15/12,Assumptions!$E$16*12,Lender!$C$12)-E10)),0)</f>
        <v>12181.9243134066</v>
      </c>
      <c r="F11" s="3" t="n">
        <f aca="false">IF(F$6&lt;=Assumptions!$E$17,MIN(F8,MAX(0,-PMT(Assumptions!$E$15/12,Assumptions!$E$16*12,Lender!$C$12)-F10)),0)</f>
        <v>12242.8339349737</v>
      </c>
      <c r="G11" s="3" t="n">
        <f aca="false">IF(G$6&lt;=Assumptions!$E$17,MIN(G8,MAX(0,-PMT(Assumptions!$E$15/12,Assumptions!$E$16*12,Lender!$C$12)-G10)),0)</f>
        <v>12304.0481046485</v>
      </c>
      <c r="H11" s="3" t="n">
        <f aca="false">IF(H$6&lt;=Assumptions!$E$17,MIN(H8,MAX(0,-PMT(Assumptions!$E$15/12,Assumptions!$E$16*12,Lender!$C$12)-H10)),0)</f>
        <v>12365.5683451718</v>
      </c>
      <c r="I11" s="3" t="n">
        <f aca="false">IF(I$6&lt;=Assumptions!$E$17,MIN(I8,MAX(0,-PMT(Assumptions!$E$15/12,Assumptions!$E$16*12,Lender!$C$12)-I10)),0)</f>
        <v>12427.3961868976</v>
      </c>
      <c r="J11" s="3" t="n">
        <f aca="false">IF(J$6&lt;=Assumptions!$E$17,MIN(J8,MAX(0,-PMT(Assumptions!$E$15/12,Assumptions!$E$16*12,Lender!$C$12)-J10)),0)</f>
        <v>12489.5331678321</v>
      </c>
      <c r="K11" s="3" t="n">
        <f aca="false">IF(K$6&lt;=Assumptions!$E$17,MIN(K8,MAX(0,-PMT(Assumptions!$E$15/12,Assumptions!$E$16*12,Lender!$C$12)-K10)),0)</f>
        <v>12551.9808336713</v>
      </c>
      <c r="L11" s="0" t="n">
        <f aca="false">IF(L$6&lt;=Assumptions!$E$17,MIN(L8,MAX(0,-PMT(Assumptions!$E$15/12,Assumptions!$E$16*12,Lender!$C$12)-L10)),0)</f>
        <v>12614.7407378396</v>
      </c>
      <c r="M11" s="0" t="n">
        <f aca="false">IF(M$6&lt;=Assumptions!$E$17,MIN(M8,MAX(0,-PMT(Assumptions!$E$15/12,Assumptions!$E$16*12,Lender!$C$12)-M10)),0)</f>
        <v>12677.8144415288</v>
      </c>
      <c r="N11" s="0" t="n">
        <f aca="false">IF(N$6&lt;=Assumptions!$E$17,MIN(N8,MAX(0,-PMT(Assumptions!$E$15/12,Assumptions!$E$16*12,Lender!$C$12)-N10)),0)</f>
        <v>12741.2035137365</v>
      </c>
      <c r="O11" s="0" t="n">
        <f aca="false">IF(O$6&lt;=Assumptions!$E$17,MIN(O8,MAX(0,-PMT(Assumptions!$E$15/12,Assumptions!$E$16*12,Lender!$C$12)-O10)),0)</f>
        <v>12804.9095313052</v>
      </c>
      <c r="P11" s="0" t="n">
        <f aca="false">IF(P$6&lt;=Assumptions!$E$17,MIN(P8,MAX(0,-PMT(Assumptions!$E$15/12,Assumptions!$E$16*12,Lender!$C$12)-P10)),0)</f>
        <v>12868.9340789617</v>
      </c>
      <c r="Q11" s="0" t="n">
        <f aca="false">IF(Q$6&lt;=Assumptions!$E$17,MIN(Q8,MAX(0,-PMT(Assumptions!$E$15/12,Assumptions!$E$16*12,Lender!$C$12)-Q10)),0)</f>
        <v>12933.2787493565</v>
      </c>
      <c r="R11" s="0" t="n">
        <f aca="false">IF(R$6&lt;=Assumptions!$E$17,MIN(R8,MAX(0,-PMT(Assumptions!$E$15/12,Assumptions!$E$16*12,Lender!$C$12)-R10)),0)</f>
        <v>12997.9451431033</v>
      </c>
      <c r="S11" s="0" t="n">
        <f aca="false">IF(S$6&lt;=Assumptions!$E$17,MIN(S8,MAX(0,-PMT(Assumptions!$E$15/12,Assumptions!$E$16*12,Lender!$C$12)-S10)),0)</f>
        <v>13062.9348688188</v>
      </c>
      <c r="T11" s="0" t="n">
        <f aca="false">IF(T$6&lt;=Assumptions!$E$17,MIN(T8,MAX(0,-PMT(Assumptions!$E$15/12,Assumptions!$E$16*12,Lender!$C$12)-T10)),0)</f>
        <v>13128.2495431629</v>
      </c>
      <c r="U11" s="0" t="n">
        <f aca="false">IF(U$6&lt;=Assumptions!$E$17,MIN(U8,MAX(0,-PMT(Assumptions!$E$15/12,Assumptions!$E$16*12,Lender!$C$12)-U10)),0)</f>
        <v>13193.8907908787</v>
      </c>
      <c r="V11" s="0" t="n">
        <f aca="false">IF(V$6&lt;=Assumptions!$E$17,MIN(V8,MAX(0,-PMT(Assumptions!$E$15/12,Assumptions!$E$16*12,Lender!$C$12)-V10)),0)</f>
        <v>13259.8602448331</v>
      </c>
      <c r="W11" s="0" t="n">
        <f aca="false">IF(W$6&lt;=Assumptions!$E$17,MIN(W8,MAX(0,-PMT(Assumptions!$E$15/12,Assumptions!$E$16*12,Lender!$C$12)-W10)),0)</f>
        <v>13326.1595460573</v>
      </c>
      <c r="X11" s="0" t="n">
        <f aca="false">IF(X$6&lt;=Assumptions!$E$17,MIN(X8,MAX(0,-PMT(Assumptions!$E$15/12,Assumptions!$E$16*12,Lender!$C$12)-X10)),0)</f>
        <v>13392.7903437876</v>
      </c>
      <c r="Y11" s="0" t="n">
        <f aca="false">IF(Y$6&lt;=Assumptions!$E$17,MIN(Y8,MAX(0,-PMT(Assumptions!$E$15/12,Assumptions!$E$16*12,Lender!$C$12)-Y10)),0)</f>
        <v>13459.7542955065</v>
      </c>
      <c r="Z11" s="0" t="n">
        <f aca="false">IF(Z$6&lt;=Assumptions!$E$17,MIN(Z8,MAX(0,-PMT(Assumptions!$E$15/12,Assumptions!$E$16*12,Lender!$C$12)-Z10)),0)</f>
        <v>13527.053066984</v>
      </c>
      <c r="AA11" s="0" t="n">
        <f aca="false">IF(AA$6&lt;=Assumptions!$E$17,MIN(AA8,MAX(0,-PMT(Assumptions!$E$15/12,Assumptions!$E$16*12,Lender!$C$12)-AA10)),0)</f>
        <v>13594.688332319</v>
      </c>
      <c r="AB11" s="0" t="n">
        <f aca="false">IF(AB$6&lt;=Assumptions!$E$17,MIN(AB8,MAX(0,-PMT(Assumptions!$E$15/12,Assumptions!$E$16*12,Lender!$C$12)-AB10)),0)</f>
        <v>13662.6617739806</v>
      </c>
      <c r="AC11" s="0" t="n">
        <f aca="false">IF(AC$6&lt;=Assumptions!$E$17,MIN(AC8,MAX(0,-PMT(Assumptions!$E$15/12,Assumptions!$E$16*12,Lender!$C$12)-AC10)),0)</f>
        <v>13730.9750828504</v>
      </c>
      <c r="AD11" s="0" t="n">
        <f aca="false">IF(AD$6&lt;=Assumptions!$E$17,MIN(AD8,MAX(0,-PMT(Assumptions!$E$15/12,Assumptions!$E$16*12,Lender!$C$12)-AD10)),0)</f>
        <v>13799.6299582647</v>
      </c>
      <c r="AE11" s="0" t="n">
        <f aca="false">IF(AE$6&lt;=Assumptions!$E$17,MIN(AE8,MAX(0,-PMT(Assumptions!$E$15/12,Assumptions!$E$16*12,Lender!$C$12)-AE10)),0)</f>
        <v>13868.628108056</v>
      </c>
      <c r="AF11" s="0" t="n">
        <f aca="false">IF(AF$6&lt;=Assumptions!$E$17,MIN(AF8,MAX(0,-PMT(Assumptions!$E$15/12,Assumptions!$E$16*12,Lender!$C$12)-AF10)),0)</f>
        <v>13937.9712485963</v>
      </c>
      <c r="AG11" s="0" t="n">
        <f aca="false">IF(AG$6&lt;=Assumptions!$E$17,MIN(AG8,MAX(0,-PMT(Assumptions!$E$15/12,Assumptions!$E$16*12,Lender!$C$12)-AG10)),0)</f>
        <v>14007.6611048393</v>
      </c>
      <c r="AH11" s="0" t="n">
        <f aca="false">IF(AH$6&lt;=Assumptions!$E$17,MIN(AH8,MAX(0,-PMT(Assumptions!$E$15/12,Assumptions!$E$16*12,Lender!$C$12)-AH10)),0)</f>
        <v>14077.6994103635</v>
      </c>
      <c r="AI11" s="0" t="n">
        <f aca="false">IF(AI$6&lt;=Assumptions!$E$17,MIN(AI8,MAX(0,-PMT(Assumptions!$E$15/12,Assumptions!$E$16*12,Lender!$C$12)-AI10)),0)</f>
        <v>14148.0879074153</v>
      </c>
      <c r="AJ11" s="0" t="n">
        <f aca="false">IF(AJ$6&lt;=Assumptions!$E$17,MIN(AJ8,MAX(0,-PMT(Assumptions!$E$15/12,Assumptions!$E$16*12,Lender!$C$12)-AJ10)),0)</f>
        <v>14218.8283469524</v>
      </c>
      <c r="AK11" s="0" t="n">
        <f aca="false">IF(AK$6&lt;=Assumptions!$E$17,MIN(AK8,MAX(0,-PMT(Assumptions!$E$15/12,Assumptions!$E$16*12,Lender!$C$12)-AK10)),0)</f>
        <v>14289.9224886871</v>
      </c>
      <c r="AL11" s="0" t="n">
        <f aca="false">IF(AL$6&lt;=Assumptions!$E$17,MIN(AL8,MAX(0,-PMT(Assumptions!$E$15/12,Assumptions!$E$16*12,Lender!$C$12)-AL10)),0)</f>
        <v>14361.3721011306</v>
      </c>
      <c r="AM11" s="0" t="n">
        <f aca="false">IF(AM$6&lt;=Assumptions!$E$17,MIN(AM8,MAX(0,-PMT(Assumptions!$E$15/12,Assumptions!$E$16*12,Lender!$C$12)-AM10)),0)</f>
        <v>14433.1789616362</v>
      </c>
      <c r="AN11" s="0" t="n">
        <f aca="false">IF(AN$6&lt;=Assumptions!$E$17,MIN(AN8,MAX(0,-PMT(Assumptions!$E$15/12,Assumptions!$E$16*12,Lender!$C$12)-AN10)),0)</f>
        <v>14505.3448564444</v>
      </c>
      <c r="AO11" s="0" t="n">
        <f aca="false">IF(AO$6&lt;=Assumptions!$E$17,MIN(AO8,MAX(0,-PMT(Assumptions!$E$15/12,Assumptions!$E$16*12,Lender!$C$12)-AO10)),0)</f>
        <v>14577.8715807266</v>
      </c>
      <c r="AP11" s="0" t="n">
        <f aca="false">IF(AP$6&lt;=Assumptions!$E$17,MIN(AP8,MAX(0,-PMT(Assumptions!$E$15/12,Assumptions!$E$16*12,Lender!$C$12)-AP10)),0)</f>
        <v>14650.7609386303</v>
      </c>
      <c r="AQ11" s="0" t="n">
        <f aca="false">IF(AQ$6&lt;=Assumptions!$E$17,MIN(AQ8,MAX(0,-PMT(Assumptions!$E$15/12,Assumptions!$E$16*12,Lender!$C$12)-AQ10)),0)</f>
        <v>14724.0147433234</v>
      </c>
      <c r="AR11" s="0" t="n">
        <f aca="false">IF(AR$6&lt;=Assumptions!$E$17,MIN(AR8,MAX(0,-PMT(Assumptions!$E$15/12,Assumptions!$E$16*12,Lender!$C$12)-AR10)),0)</f>
        <v>14797.63481704</v>
      </c>
      <c r="AS11" s="0" t="n">
        <f aca="false">IF(AS$6&lt;=Assumptions!$E$17,MIN(AS8,MAX(0,-PMT(Assumptions!$E$15/12,Assumptions!$E$16*12,Lender!$C$12)-AS10)),0)</f>
        <v>14871.6229911252</v>
      </c>
      <c r="AT11" s="0" t="n">
        <f aca="false">IF(AT$6&lt;=Assumptions!$E$17,MIN(AT8,MAX(0,-PMT(Assumptions!$E$15/12,Assumptions!$E$16*12,Lender!$C$12)-AT10)),0)</f>
        <v>14945.9811060809</v>
      </c>
      <c r="AU11" s="0" t="n">
        <f aca="false">IF(AU$6&lt;=Assumptions!$E$17,MIN(AU8,MAX(0,-PMT(Assumptions!$E$15/12,Assumptions!$E$16*12,Lender!$C$12)-AU10)),0)</f>
        <v>15020.7110116113</v>
      </c>
      <c r="AV11" s="0" t="n">
        <f aca="false">IF(AV$6&lt;=Assumptions!$E$17,MIN(AV8,MAX(0,-PMT(Assumptions!$E$15/12,Assumptions!$E$16*12,Lender!$C$12)-AV10)),0)</f>
        <v>15095.8145666693</v>
      </c>
      <c r="AW11" s="0" t="n">
        <f aca="false">IF(AW$6&lt;=Assumptions!$E$17,MIN(AW8,MAX(0,-PMT(Assumptions!$E$15/12,Assumptions!$E$16*12,Lender!$C$12)-AW10)),0)</f>
        <v>15171.2936395027</v>
      </c>
      <c r="AX11" s="0" t="n">
        <f aca="false">IF(AX$6&lt;=Assumptions!$E$17,MIN(AX8,MAX(0,-PMT(Assumptions!$E$15/12,Assumptions!$E$16*12,Lender!$C$12)-AX10)),0)</f>
        <v>15247.1501077002</v>
      </c>
      <c r="AY11" s="0" t="n">
        <f aca="false">IF(AY$6&lt;=Assumptions!$E$17,MIN(AY8,MAX(0,-PMT(Assumptions!$E$15/12,Assumptions!$E$16*12,Lender!$C$12)-AY10)),0)</f>
        <v>15323.3858582387</v>
      </c>
      <c r="AZ11" s="0" t="n">
        <f aca="false">IF(AZ$6&lt;=Assumptions!$E$17,MIN(AZ8,MAX(0,-PMT(Assumptions!$E$15/12,Assumptions!$E$16*12,Lender!$C$12)-AZ10)),0)</f>
        <v>15400.0027875299</v>
      </c>
      <c r="BA11" s="0" t="n">
        <f aca="false">IF(BA$6&lt;=Assumptions!$E$17,MIN(BA8,MAX(0,-PMT(Assumptions!$E$15/12,Assumptions!$E$16*12,Lender!$C$12)-BA10)),0)</f>
        <v>15477.0028014675</v>
      </c>
      <c r="BB11" s="0" t="n">
        <f aca="false">IF(BB$6&lt;=Assumptions!$E$17,MIN(BB8,MAX(0,-PMT(Assumptions!$E$15/12,Assumptions!$E$16*12,Lender!$C$12)-BB10)),0)</f>
        <v>15554.3878154749</v>
      </c>
      <c r="BC11" s="0" t="n">
        <f aca="false">IF(BC$6&lt;=Assumptions!$E$17,MIN(BC8,MAX(0,-PMT(Assumptions!$E$15/12,Assumptions!$E$16*12,Lender!$C$12)-BC10)),0)</f>
        <v>15632.1597545522</v>
      </c>
      <c r="BD11" s="0" t="n">
        <f aca="false">IF(BD$6&lt;=Assumptions!$E$17,MIN(BD8,MAX(0,-PMT(Assumptions!$E$15/12,Assumptions!$E$16*12,Lender!$C$12)-BD10)),0)</f>
        <v>15710.320553325</v>
      </c>
      <c r="BE11" s="0" t="n">
        <f aca="false">IF(BE$6&lt;=Assumptions!$E$17,MIN(BE8,MAX(0,-PMT(Assumptions!$E$15/12,Assumptions!$E$16*12,Lender!$C$12)-BE10)),0)</f>
        <v>15788.8721560916</v>
      </c>
      <c r="BF11" s="0" t="n">
        <f aca="false">IF(BF$6&lt;=Assumptions!$E$17,MIN(BF8,MAX(0,-PMT(Assumptions!$E$15/12,Assumptions!$E$16*12,Lender!$C$12)-BF10)),0)</f>
        <v>15867.8165168721</v>
      </c>
      <c r="BG11" s="0" t="n">
        <f aca="false">IF(BG$6&lt;=Assumptions!$E$17,MIN(BG8,MAX(0,-PMT(Assumptions!$E$15/12,Assumptions!$E$16*12,Lender!$C$12)-BG10)),0)</f>
        <v>15947.1555994564</v>
      </c>
      <c r="BH11" s="0" t="n">
        <f aca="false">IF(BH$6&lt;=Assumptions!$E$17,MIN(BH8,MAX(0,-PMT(Assumptions!$E$15/12,Assumptions!$E$16*12,Lender!$C$12)-BH10)),0)</f>
        <v>16026.8913774537</v>
      </c>
      <c r="BI11" s="0" t="n">
        <f aca="false">IF(BI$6&lt;=Assumptions!$E$17,MIN(BI8,MAX(0,-PMT(Assumptions!$E$15/12,Assumptions!$E$16*12,Lender!$C$12)-BI10)),0)</f>
        <v>16107.025834341</v>
      </c>
      <c r="BJ11" s="0" t="n">
        <f aca="false">IF(BJ$6&lt;=Assumptions!$E$17,MIN(BJ8,MAX(0,-PMT(Assumptions!$E$15/12,Assumptions!$E$16*12,Lender!$C$12)-BJ10)),0)</f>
        <v>16187.5609635127</v>
      </c>
      <c r="BK11" s="0" t="n">
        <f aca="false">IF(BK$6&lt;=Assumptions!$E$17,MIN(BK8,MAX(0,-PMT(Assumptions!$E$15/12,Assumptions!$E$16*12,Lender!$C$12)-BK10)),0)</f>
        <v>16268.4987683303</v>
      </c>
    </row>
    <row r="12" customFormat="false" ht="25" hidden="false" customHeight="true" outlineLevel="0" collapsed="false">
      <c r="A12" s="1"/>
      <c r="B12" s="1" t="s">
        <v>39</v>
      </c>
      <c r="C12" s="3" t="n">
        <f aca="false">0</f>
        <v>0</v>
      </c>
      <c r="D12" s="3" t="n">
        <f aca="false">IF(D$6=Assumptions!$E$17,MAX(0,D8+D9-D11),0)</f>
        <v>0</v>
      </c>
      <c r="E12" s="3" t="n">
        <f aca="false">IF(E$6=Assumptions!$E$17,MAX(0,E8+E9-E11),0)</f>
        <v>0</v>
      </c>
      <c r="F12" s="3" t="n">
        <f aca="false">IF(F$6=Assumptions!$E$17,MAX(0,F8+F9-F11),0)</f>
        <v>0</v>
      </c>
      <c r="G12" s="3" t="n">
        <f aca="false">IF(G$6=Assumptions!$E$17,MAX(0,G8+G9-G11),0)</f>
        <v>0</v>
      </c>
      <c r="H12" s="3" t="n">
        <f aca="false">IF(H$6=Assumptions!$E$17,MAX(0,H8+H9-H11),0)</f>
        <v>0</v>
      </c>
      <c r="I12" s="3" t="n">
        <f aca="false">IF(I$6=Assumptions!$E$17,MAX(0,I8+I9-I11),0)</f>
        <v>0</v>
      </c>
      <c r="J12" s="3" t="n">
        <f aca="false">IF(J$6=Assumptions!$E$17,MAX(0,J8+J9-J11),0)</f>
        <v>0</v>
      </c>
      <c r="K12" s="3" t="n">
        <f aca="false">IF(K$6=Assumptions!$E$17,MAX(0,K8+K9-K11),0)</f>
        <v>0</v>
      </c>
      <c r="L12" s="0" t="n">
        <f aca="false">IF(L$6=Assumptions!$E$17,MAX(0,L8+L9-L11),0)</f>
        <v>0</v>
      </c>
      <c r="M12" s="0" t="n">
        <f aca="false">IF(M$6=Assumptions!$E$17,MAX(0,M8+M9-M11),0)</f>
        <v>0</v>
      </c>
      <c r="N12" s="0" t="n">
        <f aca="false">IF(N$6=Assumptions!$E$17,MAX(0,N8+N9-N11),0)</f>
        <v>0</v>
      </c>
      <c r="O12" s="0" t="n">
        <f aca="false">IF(O$6=Assumptions!$E$17,MAX(0,O8+O9-O11),0)</f>
        <v>0</v>
      </c>
      <c r="P12" s="0" t="n">
        <f aca="false">IF(P$6=Assumptions!$E$17,MAX(0,P8+P9-P11),0)</f>
        <v>0</v>
      </c>
      <c r="Q12" s="0" t="n">
        <f aca="false">IF(Q$6=Assumptions!$E$17,MAX(0,Q8+Q9-Q11),0)</f>
        <v>0</v>
      </c>
      <c r="R12" s="0" t="n">
        <f aca="false">IF(R$6=Assumptions!$E$17,MAX(0,R8+R9-R11),0)</f>
        <v>0</v>
      </c>
      <c r="S12" s="0" t="n">
        <f aca="false">IF(S$6=Assumptions!$E$17,MAX(0,S8+S9-S11),0)</f>
        <v>0</v>
      </c>
      <c r="T12" s="0" t="n">
        <f aca="false">IF(T$6=Assumptions!$E$17,MAX(0,T8+T9-T11),0)</f>
        <v>0</v>
      </c>
      <c r="U12" s="0" t="n">
        <f aca="false">IF(U$6=Assumptions!$E$17,MAX(0,U8+U9-U11),0)</f>
        <v>0</v>
      </c>
      <c r="V12" s="0" t="n">
        <f aca="false">IF(V$6=Assumptions!$E$17,MAX(0,V8+V9-V11),0)</f>
        <v>0</v>
      </c>
      <c r="W12" s="0" t="n">
        <f aca="false">IF(W$6=Assumptions!$E$17,MAX(0,W8+W9-W11),0)</f>
        <v>0</v>
      </c>
      <c r="X12" s="0" t="n">
        <f aca="false">IF(X$6=Assumptions!$E$17,MAX(0,X8+X9-X11),0)</f>
        <v>0</v>
      </c>
      <c r="Y12" s="0" t="n">
        <f aca="false">IF(Y$6=Assumptions!$E$17,MAX(0,Y8+Y9-Y11),0)</f>
        <v>0</v>
      </c>
      <c r="Z12" s="0" t="n">
        <f aca="false">IF(Z$6=Assumptions!$E$17,MAX(0,Z8+Z9-Z11),0)</f>
        <v>0</v>
      </c>
      <c r="AA12" s="0" t="n">
        <f aca="false">IF(AA$6=Assumptions!$E$17,MAX(0,AA8+AA9-AA11),0)</f>
        <v>0</v>
      </c>
      <c r="AB12" s="0" t="n">
        <f aca="false">IF(AB$6=Assumptions!$E$17,MAX(0,AB8+AB9-AB11),0)</f>
        <v>0</v>
      </c>
      <c r="AC12" s="0" t="n">
        <f aca="false">IF(AC$6=Assumptions!$E$17,MAX(0,AC8+AC9-AC11),0)</f>
        <v>0</v>
      </c>
      <c r="AD12" s="0" t="n">
        <f aca="false">IF(AD$6=Assumptions!$E$17,MAX(0,AD8+AD9-AD11),0)</f>
        <v>0</v>
      </c>
      <c r="AE12" s="0" t="n">
        <f aca="false">IF(AE$6=Assumptions!$E$17,MAX(0,AE8+AE9-AE11),0)</f>
        <v>0</v>
      </c>
      <c r="AF12" s="0" t="n">
        <f aca="false">IF(AF$6=Assumptions!$E$17,MAX(0,AF8+AF9-AF11),0)</f>
        <v>0</v>
      </c>
      <c r="AG12" s="0" t="n">
        <f aca="false">IF(AG$6=Assumptions!$E$17,MAX(0,AG8+AG9-AG11),0)</f>
        <v>0</v>
      </c>
      <c r="AH12" s="0" t="n">
        <f aca="false">IF(AH$6=Assumptions!$E$17,MAX(0,AH8+AH9-AH11),0)</f>
        <v>0</v>
      </c>
      <c r="AI12" s="0" t="n">
        <f aca="false">IF(AI$6=Assumptions!$E$17,MAX(0,AI8+AI9-AI11),0)</f>
        <v>0</v>
      </c>
      <c r="AJ12" s="0" t="n">
        <f aca="false">IF(AJ$6=Assumptions!$E$17,MAX(0,AJ8+AJ9-AJ11),0)</f>
        <v>0</v>
      </c>
      <c r="AK12" s="0" t="n">
        <f aca="false">IF(AK$6=Assumptions!$E$17,MAX(0,AK8+AK9-AK11),0)</f>
        <v>0</v>
      </c>
      <c r="AL12" s="0" t="n">
        <f aca="false">IF(AL$6=Assumptions!$E$17,MAX(0,AL8+AL9-AL11),0)</f>
        <v>0</v>
      </c>
      <c r="AM12" s="0" t="n">
        <f aca="false">IF(AM$6=Assumptions!$E$17,MAX(0,AM8+AM9-AM11),0)</f>
        <v>0</v>
      </c>
      <c r="AN12" s="0" t="n">
        <f aca="false">IF(AN$6=Assumptions!$E$17,MAX(0,AN8+AN9-AN11),0)</f>
        <v>0</v>
      </c>
      <c r="AO12" s="0" t="n">
        <f aca="false">IF(AO$6=Assumptions!$E$17,MAX(0,AO8+AO9-AO11),0)</f>
        <v>0</v>
      </c>
      <c r="AP12" s="0" t="n">
        <f aca="false">IF(AP$6=Assumptions!$E$17,MAX(0,AP8+AP9-AP11),0)</f>
        <v>0</v>
      </c>
      <c r="AQ12" s="0" t="n">
        <f aca="false">IF(AQ$6=Assumptions!$E$17,MAX(0,AQ8+AQ9-AQ11),0)</f>
        <v>0</v>
      </c>
      <c r="AR12" s="0" t="n">
        <f aca="false">IF(AR$6=Assumptions!$E$17,MAX(0,AR8+AR9-AR11),0)</f>
        <v>0</v>
      </c>
      <c r="AS12" s="0" t="n">
        <f aca="false">IF(AS$6=Assumptions!$E$17,MAX(0,AS8+AS9-AS11),0)</f>
        <v>0</v>
      </c>
      <c r="AT12" s="0" t="n">
        <f aca="false">IF(AT$6=Assumptions!$E$17,MAX(0,AT8+AT9-AT11),0)</f>
        <v>0</v>
      </c>
      <c r="AU12" s="0" t="n">
        <f aca="false">IF(AU$6=Assumptions!$E$17,MAX(0,AU8+AU9-AU11),0)</f>
        <v>0</v>
      </c>
      <c r="AV12" s="0" t="n">
        <f aca="false">IF(AV$6=Assumptions!$E$17,MAX(0,AV8+AV9-AV11),0)</f>
        <v>0</v>
      </c>
      <c r="AW12" s="0" t="n">
        <f aca="false">IF(AW$6=Assumptions!$E$17,MAX(0,AW8+AW9-AW11),0)</f>
        <v>0</v>
      </c>
      <c r="AX12" s="0" t="n">
        <f aca="false">IF(AX$6=Assumptions!$E$17,MAX(0,AX8+AX9-AX11),0)</f>
        <v>0</v>
      </c>
      <c r="AY12" s="0" t="n">
        <f aca="false">IF(AY$6=Assumptions!$E$17,MAX(0,AY8+AY9-AY11),0)</f>
        <v>0</v>
      </c>
      <c r="AZ12" s="0" t="n">
        <f aca="false">IF(AZ$6=Assumptions!$E$17,MAX(0,AZ8+AZ9-AZ11),0)</f>
        <v>0</v>
      </c>
      <c r="BA12" s="0" t="n">
        <f aca="false">IF(BA$6=Assumptions!$E$17,MAX(0,BA8+BA9-BA11),0)</f>
        <v>0</v>
      </c>
      <c r="BB12" s="0" t="n">
        <f aca="false">IF(BB$6=Assumptions!$E$17,MAX(0,BB8+BB9-BB11),0)</f>
        <v>0</v>
      </c>
      <c r="BC12" s="0" t="n">
        <f aca="false">IF(BC$6=Assumptions!$E$17,MAX(0,BC8+BC9-BC11),0)</f>
        <v>0</v>
      </c>
      <c r="BD12" s="0" t="n">
        <f aca="false">IF(BD$6=Assumptions!$E$17,MAX(0,BD8+BD9-BD11),0)</f>
        <v>0</v>
      </c>
      <c r="BE12" s="0" t="n">
        <f aca="false">IF(BE$6=Assumptions!$E$17,MAX(0,BE8+BE9-BE11),0)</f>
        <v>0</v>
      </c>
      <c r="BF12" s="0" t="n">
        <f aca="false">IF(BF$6=Assumptions!$E$17,MAX(0,BF8+BF9-BF11),0)</f>
        <v>0</v>
      </c>
      <c r="BG12" s="0" t="n">
        <f aca="false">IF(BG$6=Assumptions!$E$17,MAX(0,BG8+BG9-BG11),0)</f>
        <v>0</v>
      </c>
      <c r="BH12" s="0" t="n">
        <f aca="false">IF(BH$6=Assumptions!$E$17,MAX(0,BH8+BH9-BH11),0)</f>
        <v>0</v>
      </c>
      <c r="BI12" s="0" t="n">
        <f aca="false">IF(BI$6=Assumptions!$E$17,MAX(0,BI8+BI9-BI11),0)</f>
        <v>0</v>
      </c>
      <c r="BJ12" s="0" t="n">
        <f aca="false">IF(BJ$6=Assumptions!$E$17,MAX(0,BJ8+BJ9-BJ11),0)</f>
        <v>0</v>
      </c>
      <c r="BK12" s="0" t="n">
        <f aca="false">IF(BK$6=Assumptions!$E$17,MAX(0,BK8+BK9-BK11),0)</f>
        <v>7554295.29252216</v>
      </c>
    </row>
    <row r="13" customFormat="false" ht="25" hidden="false" customHeight="true" outlineLevel="0" collapsed="false">
      <c r="A13" s="1"/>
      <c r="B13" s="1" t="s">
        <v>40</v>
      </c>
      <c r="C13" s="3" t="n">
        <f aca="false">Lender!C12*Assumptions!$E$18</f>
        <v>84000</v>
      </c>
      <c r="D13" s="3" t="n">
        <f aca="false">0</f>
        <v>0</v>
      </c>
      <c r="E13" s="3" t="n">
        <f aca="false">0</f>
        <v>0</v>
      </c>
      <c r="F13" s="3" t="n">
        <f aca="false">0</f>
        <v>0</v>
      </c>
      <c r="G13" s="3" t="n">
        <f aca="false">0</f>
        <v>0</v>
      </c>
      <c r="H13" s="3" t="n">
        <f aca="false">0</f>
        <v>0</v>
      </c>
      <c r="I13" s="3" t="n">
        <f aca="false">0</f>
        <v>0</v>
      </c>
      <c r="J13" s="3" t="n">
        <f aca="false">0</f>
        <v>0</v>
      </c>
      <c r="K13" s="3" t="n">
        <f aca="false">0</f>
        <v>0</v>
      </c>
      <c r="L13" s="0" t="n">
        <f aca="false">0</f>
        <v>0</v>
      </c>
      <c r="M13" s="0" t="n">
        <f aca="false">0</f>
        <v>0</v>
      </c>
      <c r="N13" s="0" t="n">
        <f aca="false">0</f>
        <v>0</v>
      </c>
      <c r="O13" s="0" t="n">
        <f aca="false">0</f>
        <v>0</v>
      </c>
      <c r="P13" s="0" t="n">
        <f aca="false">0</f>
        <v>0</v>
      </c>
      <c r="Q13" s="0" t="n">
        <f aca="false">0</f>
        <v>0</v>
      </c>
      <c r="R13" s="0" t="n">
        <f aca="false">0</f>
        <v>0</v>
      </c>
      <c r="S13" s="0" t="n">
        <f aca="false">0</f>
        <v>0</v>
      </c>
      <c r="T13" s="0" t="n">
        <f aca="false">0</f>
        <v>0</v>
      </c>
      <c r="U13" s="0" t="n">
        <f aca="false">0</f>
        <v>0</v>
      </c>
      <c r="V13" s="0" t="n">
        <f aca="false">0</f>
        <v>0</v>
      </c>
      <c r="W13" s="0" t="n">
        <f aca="false">0</f>
        <v>0</v>
      </c>
      <c r="X13" s="0" t="n">
        <f aca="false">0</f>
        <v>0</v>
      </c>
      <c r="Y13" s="0" t="n">
        <f aca="false">0</f>
        <v>0</v>
      </c>
      <c r="Z13" s="0" t="n">
        <f aca="false">0</f>
        <v>0</v>
      </c>
      <c r="AA13" s="0" t="n">
        <f aca="false">0</f>
        <v>0</v>
      </c>
      <c r="AB13" s="0" t="n">
        <f aca="false">0</f>
        <v>0</v>
      </c>
      <c r="AC13" s="0" t="n">
        <f aca="false">0</f>
        <v>0</v>
      </c>
      <c r="AD13" s="0" t="n">
        <f aca="false">0</f>
        <v>0</v>
      </c>
      <c r="AE13" s="0" t="n">
        <f aca="false">0</f>
        <v>0</v>
      </c>
      <c r="AF13" s="0" t="n">
        <f aca="false">0</f>
        <v>0</v>
      </c>
      <c r="AG13" s="0" t="n">
        <f aca="false">0</f>
        <v>0</v>
      </c>
      <c r="AH13" s="0" t="n">
        <f aca="false">0</f>
        <v>0</v>
      </c>
      <c r="AI13" s="0" t="n">
        <f aca="false">0</f>
        <v>0</v>
      </c>
      <c r="AJ13" s="0" t="n">
        <f aca="false">0</f>
        <v>0</v>
      </c>
      <c r="AK13" s="0" t="n">
        <f aca="false">0</f>
        <v>0</v>
      </c>
      <c r="AL13" s="0" t="n">
        <f aca="false">0</f>
        <v>0</v>
      </c>
      <c r="AM13" s="0" t="n">
        <f aca="false">0</f>
        <v>0</v>
      </c>
      <c r="AN13" s="0" t="n">
        <f aca="false">0</f>
        <v>0</v>
      </c>
      <c r="AO13" s="0" t="n">
        <f aca="false">0</f>
        <v>0</v>
      </c>
      <c r="AP13" s="0" t="n">
        <f aca="false">0</f>
        <v>0</v>
      </c>
      <c r="AQ13" s="0" t="n">
        <f aca="false">0</f>
        <v>0</v>
      </c>
      <c r="AR13" s="0" t="n">
        <f aca="false">0</f>
        <v>0</v>
      </c>
      <c r="AS13" s="0" t="n">
        <f aca="false">0</f>
        <v>0</v>
      </c>
      <c r="AT13" s="0" t="n">
        <f aca="false">0</f>
        <v>0</v>
      </c>
      <c r="AU13" s="0" t="n">
        <f aca="false">0</f>
        <v>0</v>
      </c>
      <c r="AV13" s="0" t="n">
        <f aca="false">0</f>
        <v>0</v>
      </c>
      <c r="AW13" s="0" t="n">
        <f aca="false">0</f>
        <v>0</v>
      </c>
      <c r="AX13" s="0" t="n">
        <f aca="false">0</f>
        <v>0</v>
      </c>
      <c r="AY13" s="0" t="n">
        <f aca="false">0</f>
        <v>0</v>
      </c>
      <c r="AZ13" s="0" t="n">
        <f aca="false">0</f>
        <v>0</v>
      </c>
      <c r="BA13" s="0" t="n">
        <f aca="false">0</f>
        <v>0</v>
      </c>
      <c r="BB13" s="0" t="n">
        <f aca="false">0</f>
        <v>0</v>
      </c>
      <c r="BC13" s="0" t="n">
        <f aca="false">0</f>
        <v>0</v>
      </c>
      <c r="BD13" s="0" t="n">
        <f aca="false">0</f>
        <v>0</v>
      </c>
      <c r="BE13" s="0" t="n">
        <f aca="false">0</f>
        <v>0</v>
      </c>
      <c r="BF13" s="0" t="n">
        <f aca="false">0</f>
        <v>0</v>
      </c>
      <c r="BG13" s="0" t="n">
        <f aca="false">0</f>
        <v>0</v>
      </c>
      <c r="BH13" s="0" t="n">
        <f aca="false">0</f>
        <v>0</v>
      </c>
      <c r="BI13" s="0" t="n">
        <f aca="false">0</f>
        <v>0</v>
      </c>
      <c r="BJ13" s="0" t="n">
        <f aca="false">0</f>
        <v>0</v>
      </c>
      <c r="BK13" s="0" t="n">
        <f aca="false">0</f>
        <v>0</v>
      </c>
    </row>
    <row r="14" customFormat="false" ht="25" hidden="false" customHeight="true" outlineLevel="0" collapsed="false">
      <c r="A14" s="1"/>
      <c r="B14" s="1" t="s">
        <v>41</v>
      </c>
      <c r="C14" s="3" t="n">
        <f aca="false">SUM(C8:C9)-SUM(C11:C12)</f>
        <v>8400000</v>
      </c>
      <c r="D14" s="3" t="n">
        <f aca="false">SUM(D8:D9)-SUM(D11:D12)</f>
        <v>8387878.68227522</v>
      </c>
      <c r="E14" s="3" t="n">
        <f aca="false">SUM(E8:E9)-SUM(E11:E12)</f>
        <v>8375696.75796181</v>
      </c>
      <c r="F14" s="3" t="n">
        <f aca="false">SUM(F8:F9)-SUM(F11:F12)</f>
        <v>8363453.92402684</v>
      </c>
      <c r="G14" s="3" t="n">
        <f aca="false">SUM(G8:G9)-SUM(G11:G12)</f>
        <v>8351149.87592219</v>
      </c>
      <c r="H14" s="3" t="n">
        <f aca="false">SUM(H8:H9)-SUM(H11:H12)</f>
        <v>8338784.30757702</v>
      </c>
      <c r="I14" s="3" t="n">
        <f aca="false">SUM(I8:I9)-SUM(I11:I12)</f>
        <v>8326356.91139012</v>
      </c>
      <c r="J14" s="3" t="n">
        <f aca="false">SUM(J8:J9)-SUM(J11:J12)</f>
        <v>8313867.37822229</v>
      </c>
      <c r="K14" s="3" t="n">
        <f aca="false">SUM(K8:K9)-SUM(K11:K12)</f>
        <v>8301315.39738862</v>
      </c>
      <c r="L14" s="0" t="n">
        <f aca="false">SUM(L8:L9)-SUM(L11:L12)</f>
        <v>8288700.65665078</v>
      </c>
      <c r="M14" s="0" t="n">
        <f aca="false">SUM(M8:M9)-SUM(M11:M12)</f>
        <v>8276022.84220925</v>
      </c>
      <c r="N14" s="0" t="n">
        <f aca="false">SUM(N8:N9)-SUM(N11:N12)</f>
        <v>8263281.63869551</v>
      </c>
      <c r="O14" s="0" t="n">
        <f aca="false">SUM(O8:O9)-SUM(O11:O12)</f>
        <v>8250476.72916421</v>
      </c>
      <c r="P14" s="0" t="n">
        <f aca="false">SUM(P8:P9)-SUM(P11:P12)</f>
        <v>8237607.79508524</v>
      </c>
      <c r="Q14" s="0" t="n">
        <f aca="false">SUM(Q8:Q9)-SUM(Q11:Q12)</f>
        <v>8224674.51633589</v>
      </c>
      <c r="R14" s="0" t="n">
        <f aca="false">SUM(R8:R9)-SUM(R11:R12)</f>
        <v>8211676.57119278</v>
      </c>
      <c r="S14" s="0" t="n">
        <f aca="false">SUM(S8:S9)-SUM(S11:S12)</f>
        <v>8198613.63632396</v>
      </c>
      <c r="T14" s="0" t="n">
        <f aca="false">SUM(T8:T9)-SUM(T11:T12)</f>
        <v>8185485.3867808</v>
      </c>
      <c r="U14" s="0" t="n">
        <f aca="false">SUM(U8:U9)-SUM(U11:U12)</f>
        <v>8172291.49598992</v>
      </c>
      <c r="V14" s="0" t="n">
        <f aca="false">SUM(V8:V9)-SUM(V11:V12)</f>
        <v>8159031.63574509</v>
      </c>
      <c r="W14" s="0" t="n">
        <f aca="false">SUM(W8:W9)-SUM(W11:W12)</f>
        <v>8145705.47619903</v>
      </c>
      <c r="X14" s="0" t="n">
        <f aca="false">SUM(X8:X9)-SUM(X11:X12)</f>
        <v>8132312.68585524</v>
      </c>
      <c r="Y14" s="0" t="n">
        <f aca="false">SUM(Y8:Y9)-SUM(Y11:Y12)</f>
        <v>8118852.93155974</v>
      </c>
      <c r="Z14" s="0" t="n">
        <f aca="false">SUM(Z8:Z9)-SUM(Z11:Z12)</f>
        <v>8105325.87849275</v>
      </c>
      <c r="AA14" s="0" t="n">
        <f aca="false">SUM(AA8:AA9)-SUM(AA11:AA12)</f>
        <v>8091731.19016044</v>
      </c>
      <c r="AB14" s="0" t="n">
        <f aca="false">SUM(AB8:AB9)-SUM(AB11:AB12)</f>
        <v>8078068.52838645</v>
      </c>
      <c r="AC14" s="0" t="n">
        <f aca="false">SUM(AC8:AC9)-SUM(AC11:AC12)</f>
        <v>8064337.5533036</v>
      </c>
      <c r="AD14" s="0" t="n">
        <f aca="false">SUM(AD8:AD9)-SUM(AD11:AD12)</f>
        <v>8050537.92334534</v>
      </c>
      <c r="AE14" s="0" t="n">
        <f aca="false">SUM(AE8:AE9)-SUM(AE11:AE12)</f>
        <v>8036669.29523728</v>
      </c>
      <c r="AF14" s="0" t="n">
        <f aca="false">SUM(AF8:AF9)-SUM(AF11:AF12)</f>
        <v>8022731.32398869</v>
      </c>
      <c r="AG14" s="0" t="n">
        <f aca="false">SUM(AG8:AG9)-SUM(AG11:AG12)</f>
        <v>8008723.66288385</v>
      </c>
      <c r="AH14" s="0" t="n">
        <f aca="false">SUM(AH8:AH9)-SUM(AH11:AH12)</f>
        <v>7994645.96347349</v>
      </c>
      <c r="AI14" s="0" t="n">
        <f aca="false">SUM(AI8:AI9)-SUM(AI11:AI12)</f>
        <v>7980497.87556607</v>
      </c>
      <c r="AJ14" s="0" t="n">
        <f aca="false">SUM(AJ8:AJ9)-SUM(AJ11:AJ12)</f>
        <v>7966279.04721912</v>
      </c>
      <c r="AK14" s="0" t="n">
        <f aca="false">SUM(AK8:AK9)-SUM(AK11:AK12)</f>
        <v>7951989.12473043</v>
      </c>
      <c r="AL14" s="0" t="n">
        <f aca="false">SUM(AL8:AL9)-SUM(AL11:AL12)</f>
        <v>7937627.7526293</v>
      </c>
      <c r="AM14" s="0" t="n">
        <f aca="false">SUM(AM8:AM9)-SUM(AM11:AM12)</f>
        <v>7923194.57366766</v>
      </c>
      <c r="AN14" s="0" t="n">
        <f aca="false">SUM(AN8:AN9)-SUM(AN11:AN12)</f>
        <v>7908689.22881122</v>
      </c>
      <c r="AO14" s="0" t="n">
        <f aca="false">SUM(AO8:AO9)-SUM(AO11:AO12)</f>
        <v>7894111.35723049</v>
      </c>
      <c r="AP14" s="0" t="n">
        <f aca="false">SUM(AP8:AP9)-SUM(AP11:AP12)</f>
        <v>7879460.59629186</v>
      </c>
      <c r="AQ14" s="0" t="n">
        <f aca="false">SUM(AQ8:AQ9)-SUM(AQ11:AQ12)</f>
        <v>7864736.58154854</v>
      </c>
      <c r="AR14" s="0" t="n">
        <f aca="false">SUM(AR8:AR9)-SUM(AR11:AR12)</f>
        <v>7849938.9467315</v>
      </c>
      <c r="AS14" s="0" t="n">
        <f aca="false">SUM(AS8:AS9)-SUM(AS11:AS12)</f>
        <v>7835067.32374037</v>
      </c>
      <c r="AT14" s="0" t="n">
        <f aca="false">SUM(AT8:AT9)-SUM(AT11:AT12)</f>
        <v>7820121.34263429</v>
      </c>
      <c r="AU14" s="0" t="n">
        <f aca="false">SUM(AU8:AU9)-SUM(AU11:AU12)</f>
        <v>7805100.63162268</v>
      </c>
      <c r="AV14" s="0" t="n">
        <f aca="false">SUM(AV8:AV9)-SUM(AV11:AV12)</f>
        <v>7790004.81705601</v>
      </c>
      <c r="AW14" s="0" t="n">
        <f aca="false">SUM(AW8:AW9)-SUM(AW11:AW12)</f>
        <v>7774833.52341651</v>
      </c>
      <c r="AX14" s="0" t="n">
        <f aca="false">SUM(AX8:AX9)-SUM(AX11:AX12)</f>
        <v>7759586.37330881</v>
      </c>
      <c r="AY14" s="0" t="n">
        <f aca="false">SUM(AY8:AY9)-SUM(AY11:AY12)</f>
        <v>7744262.98745057</v>
      </c>
      <c r="AZ14" s="0" t="n">
        <f aca="false">SUM(AZ8:AZ9)-SUM(AZ11:AZ12)</f>
        <v>7728862.98466304</v>
      </c>
      <c r="BA14" s="0" t="n">
        <f aca="false">SUM(BA8:BA9)-SUM(BA11:BA12)</f>
        <v>7713385.98186157</v>
      </c>
      <c r="BB14" s="0" t="n">
        <f aca="false">SUM(BB8:BB9)-SUM(BB11:BB12)</f>
        <v>7697831.5940461</v>
      </c>
      <c r="BC14" s="0" t="n">
        <f aca="false">SUM(BC8:BC9)-SUM(BC11:BC12)</f>
        <v>7682199.43429155</v>
      </c>
      <c r="BD14" s="0" t="n">
        <f aca="false">SUM(BD8:BD9)-SUM(BD11:BD12)</f>
        <v>7666489.11373822</v>
      </c>
      <c r="BE14" s="0" t="n">
        <f aca="false">SUM(BE8:BE9)-SUM(BE11:BE12)</f>
        <v>7650700.24158213</v>
      </c>
      <c r="BF14" s="0" t="n">
        <f aca="false">SUM(BF8:BF9)-SUM(BF11:BF12)</f>
        <v>7634832.42506526</v>
      </c>
      <c r="BG14" s="0" t="n">
        <f aca="false">SUM(BG8:BG9)-SUM(BG11:BG12)</f>
        <v>7618885.2694658</v>
      </c>
      <c r="BH14" s="0" t="n">
        <f aca="false">SUM(BH8:BH9)-SUM(BH11:BH12)</f>
        <v>7602858.37808835</v>
      </c>
      <c r="BI14" s="0" t="n">
        <f aca="false">SUM(BI8:BI9)-SUM(BI11:BI12)</f>
        <v>7586751.35225401</v>
      </c>
      <c r="BJ14" s="0" t="n">
        <f aca="false">SUM(BJ8:BJ9)-SUM(BJ11:BJ12)</f>
        <v>7570563.79129049</v>
      </c>
      <c r="BK14" s="0" t="n">
        <f aca="false">SUM(BK8:BK9)-SUM(BK11:BK12)</f>
        <v>0</v>
      </c>
    </row>
    <row r="15" customFormat="false" ht="25" hidden="false" customHeight="true" outlineLevel="0" collapsed="false">
      <c r="A15" s="1"/>
      <c r="B15" s="1" t="s">
        <v>42</v>
      </c>
      <c r="C15" s="3" t="n">
        <f aca="false">SUM(C10:C13)-C9</f>
        <v>-8316000</v>
      </c>
      <c r="D15" s="3" t="n">
        <f aca="false">SUM(D10:D13)-D9</f>
        <v>54121.3177247827</v>
      </c>
      <c r="E15" s="3" t="n">
        <f aca="false">SUM(E10:E13)-E9</f>
        <v>54121.3177247827</v>
      </c>
      <c r="F15" s="3" t="n">
        <f aca="false">SUM(F10:F13)-F9</f>
        <v>54121.3177247827</v>
      </c>
      <c r="G15" s="3" t="n">
        <f aca="false">SUM(G10:G13)-G9</f>
        <v>54121.3177247827</v>
      </c>
      <c r="H15" s="3" t="n">
        <f aca="false">SUM(H10:H13)-H9</f>
        <v>54121.3177247827</v>
      </c>
      <c r="I15" s="3" t="n">
        <f aca="false">SUM(I10:I13)-I9</f>
        <v>54121.3177247827</v>
      </c>
      <c r="J15" s="3" t="n">
        <f aca="false">SUM(J10:J13)-J9</f>
        <v>54121.3177247827</v>
      </c>
      <c r="K15" s="3" t="n">
        <f aca="false">SUM(K10:K13)-K9</f>
        <v>54121.3177247827</v>
      </c>
      <c r="L15" s="0" t="n">
        <f aca="false">SUM(L10:L13)-L9</f>
        <v>54121.3177247827</v>
      </c>
      <c r="M15" s="0" t="n">
        <f aca="false">SUM(M10:M13)-M9</f>
        <v>54121.3177247827</v>
      </c>
      <c r="N15" s="0" t="n">
        <f aca="false">SUM(N10:N13)-N9</f>
        <v>54121.3177247827</v>
      </c>
      <c r="O15" s="0" t="n">
        <f aca="false">SUM(O10:O13)-O9</f>
        <v>54121.3177247827</v>
      </c>
      <c r="P15" s="0" t="n">
        <f aca="false">SUM(P10:P13)-P9</f>
        <v>54121.3177247827</v>
      </c>
      <c r="Q15" s="0" t="n">
        <f aca="false">SUM(Q10:Q13)-Q9</f>
        <v>54121.3177247827</v>
      </c>
      <c r="R15" s="0" t="n">
        <f aca="false">SUM(R10:R13)-R9</f>
        <v>54121.3177247827</v>
      </c>
      <c r="S15" s="0" t="n">
        <f aca="false">SUM(S10:S13)-S9</f>
        <v>54121.3177247827</v>
      </c>
      <c r="T15" s="0" t="n">
        <f aca="false">SUM(T10:T13)-T9</f>
        <v>54121.3177247827</v>
      </c>
      <c r="U15" s="0" t="n">
        <f aca="false">SUM(U10:U13)-U9</f>
        <v>54121.3177247827</v>
      </c>
      <c r="V15" s="0" t="n">
        <f aca="false">SUM(V10:V13)-V9</f>
        <v>54121.3177247827</v>
      </c>
      <c r="W15" s="0" t="n">
        <f aca="false">SUM(W10:W13)-W9</f>
        <v>54121.3177247827</v>
      </c>
      <c r="X15" s="0" t="n">
        <f aca="false">SUM(X10:X13)-X9</f>
        <v>54121.3177247827</v>
      </c>
      <c r="Y15" s="0" t="n">
        <f aca="false">SUM(Y10:Y13)-Y9</f>
        <v>54121.3177247827</v>
      </c>
      <c r="Z15" s="0" t="n">
        <f aca="false">SUM(Z10:Z13)-Z9</f>
        <v>54121.3177247827</v>
      </c>
      <c r="AA15" s="0" t="n">
        <f aca="false">SUM(AA10:AA13)-AA9</f>
        <v>54121.3177247827</v>
      </c>
      <c r="AB15" s="0" t="n">
        <f aca="false">SUM(AB10:AB13)-AB9</f>
        <v>54121.3177247827</v>
      </c>
      <c r="AC15" s="0" t="n">
        <f aca="false">SUM(AC10:AC13)-AC9</f>
        <v>54121.3177247827</v>
      </c>
      <c r="AD15" s="0" t="n">
        <f aca="false">SUM(AD10:AD13)-AD9</f>
        <v>54121.3177247827</v>
      </c>
      <c r="AE15" s="0" t="n">
        <f aca="false">SUM(AE10:AE13)-AE9</f>
        <v>54121.3177247827</v>
      </c>
      <c r="AF15" s="0" t="n">
        <f aca="false">SUM(AF10:AF13)-AF9</f>
        <v>54121.3177247827</v>
      </c>
      <c r="AG15" s="0" t="n">
        <f aca="false">SUM(AG10:AG13)-AG9</f>
        <v>54121.3177247827</v>
      </c>
      <c r="AH15" s="0" t="n">
        <f aca="false">SUM(AH10:AH13)-AH9</f>
        <v>54121.3177247827</v>
      </c>
      <c r="AI15" s="0" t="n">
        <f aca="false">SUM(AI10:AI13)-AI9</f>
        <v>54121.3177247827</v>
      </c>
      <c r="AJ15" s="0" t="n">
        <f aca="false">SUM(AJ10:AJ13)-AJ9</f>
        <v>54121.3177247827</v>
      </c>
      <c r="AK15" s="0" t="n">
        <f aca="false">SUM(AK10:AK13)-AK9</f>
        <v>54121.3177247827</v>
      </c>
      <c r="AL15" s="0" t="n">
        <f aca="false">SUM(AL10:AL13)-AL9</f>
        <v>54121.3177247827</v>
      </c>
      <c r="AM15" s="0" t="n">
        <f aca="false">SUM(AM10:AM13)-AM9</f>
        <v>54121.3177247827</v>
      </c>
      <c r="AN15" s="0" t="n">
        <f aca="false">SUM(AN10:AN13)-AN9</f>
        <v>54121.3177247827</v>
      </c>
      <c r="AO15" s="0" t="n">
        <f aca="false">SUM(AO10:AO13)-AO9</f>
        <v>54121.3177247827</v>
      </c>
      <c r="AP15" s="0" t="n">
        <f aca="false">SUM(AP10:AP13)-AP9</f>
        <v>54121.3177247827</v>
      </c>
      <c r="AQ15" s="0" t="n">
        <f aca="false">SUM(AQ10:AQ13)-AQ9</f>
        <v>54121.3177247827</v>
      </c>
      <c r="AR15" s="0" t="n">
        <f aca="false">SUM(AR10:AR13)-AR9</f>
        <v>54121.3177247827</v>
      </c>
      <c r="AS15" s="0" t="n">
        <f aca="false">SUM(AS10:AS13)-AS9</f>
        <v>54121.3177247827</v>
      </c>
      <c r="AT15" s="0" t="n">
        <f aca="false">SUM(AT10:AT13)-AT9</f>
        <v>54121.3177247827</v>
      </c>
      <c r="AU15" s="0" t="n">
        <f aca="false">SUM(AU10:AU13)-AU9</f>
        <v>54121.3177247827</v>
      </c>
      <c r="AV15" s="0" t="n">
        <f aca="false">SUM(AV10:AV13)-AV9</f>
        <v>54121.3177247827</v>
      </c>
      <c r="AW15" s="0" t="n">
        <f aca="false">SUM(AW10:AW13)-AW9</f>
        <v>54121.3177247827</v>
      </c>
      <c r="AX15" s="0" t="n">
        <f aca="false">SUM(AX10:AX13)-AX9</f>
        <v>54121.3177247827</v>
      </c>
      <c r="AY15" s="0" t="n">
        <f aca="false">SUM(AY10:AY13)-AY9</f>
        <v>54121.3177247827</v>
      </c>
      <c r="AZ15" s="0" t="n">
        <f aca="false">SUM(AZ10:AZ13)-AZ9</f>
        <v>54121.3177247827</v>
      </c>
      <c r="BA15" s="0" t="n">
        <f aca="false">SUM(BA10:BA13)-BA9</f>
        <v>54121.3177247827</v>
      </c>
      <c r="BB15" s="0" t="n">
        <f aca="false">SUM(BB10:BB13)-BB9</f>
        <v>54121.3177247827</v>
      </c>
      <c r="BC15" s="0" t="n">
        <f aca="false">SUM(BC10:BC13)-BC9</f>
        <v>54121.3177247827</v>
      </c>
      <c r="BD15" s="0" t="n">
        <f aca="false">SUM(BD10:BD13)-BD9</f>
        <v>54121.3177247827</v>
      </c>
      <c r="BE15" s="0" t="n">
        <f aca="false">SUM(BE10:BE13)-BE9</f>
        <v>54121.3177247827</v>
      </c>
      <c r="BF15" s="0" t="n">
        <f aca="false">SUM(BF10:BF13)-BF9</f>
        <v>54121.3177247827</v>
      </c>
      <c r="BG15" s="0" t="n">
        <f aca="false">SUM(BG10:BG13)-BG9</f>
        <v>54121.3177247827</v>
      </c>
      <c r="BH15" s="0" t="n">
        <f aca="false">SUM(BH10:BH13)-BH9</f>
        <v>54121.3177247827</v>
      </c>
      <c r="BI15" s="0" t="n">
        <f aca="false">SUM(BI10:BI13)-BI9</f>
        <v>54121.3177247827</v>
      </c>
      <c r="BJ15" s="0" t="n">
        <f aca="false">SUM(BJ10:BJ13)-BJ9</f>
        <v>54121.3177247827</v>
      </c>
      <c r="BK15" s="0" t="n">
        <f aca="false">SUM(BK10:BK13)-BK9</f>
        <v>7608416.61024695</v>
      </c>
    </row>
    <row r="16" customFormat="false" ht="25" hidden="false" customHeight="true" outlineLevel="0" collapsed="false">
      <c r="A16" s="1"/>
      <c r="B16" s="1" t="s">
        <v>43</v>
      </c>
      <c r="C16" s="3" t="n">
        <f aca="false">SUM(C10:C13)</f>
        <v>84000</v>
      </c>
      <c r="D16" s="3" t="n">
        <f aca="false">SUM(D10:D13)</f>
        <v>54121.3177247827</v>
      </c>
      <c r="E16" s="3" t="n">
        <f aca="false">SUM(E10:E13)</f>
        <v>54121.3177247827</v>
      </c>
      <c r="F16" s="3" t="n">
        <f aca="false">SUM(F10:F13)</f>
        <v>54121.3177247827</v>
      </c>
      <c r="G16" s="3" t="n">
        <f aca="false">SUM(G10:G13)</f>
        <v>54121.3177247827</v>
      </c>
      <c r="H16" s="3" t="n">
        <f aca="false">SUM(H10:H13)</f>
        <v>54121.3177247827</v>
      </c>
      <c r="I16" s="3" t="n">
        <f aca="false">SUM(I10:I13)</f>
        <v>54121.3177247827</v>
      </c>
      <c r="J16" s="3" t="n">
        <f aca="false">SUM(J10:J13)</f>
        <v>54121.3177247827</v>
      </c>
      <c r="K16" s="3" t="n">
        <f aca="false">SUM(K10:K13)</f>
        <v>54121.3177247827</v>
      </c>
      <c r="L16" s="0" t="n">
        <f aca="false">SUM(L10:L13)</f>
        <v>54121.3177247827</v>
      </c>
      <c r="M16" s="0" t="n">
        <f aca="false">SUM(M10:M13)</f>
        <v>54121.3177247827</v>
      </c>
      <c r="N16" s="0" t="n">
        <f aca="false">SUM(N10:N13)</f>
        <v>54121.3177247827</v>
      </c>
      <c r="O16" s="0" t="n">
        <f aca="false">SUM(O10:O13)</f>
        <v>54121.3177247827</v>
      </c>
      <c r="P16" s="0" t="n">
        <f aca="false">SUM(P10:P13)</f>
        <v>54121.3177247827</v>
      </c>
      <c r="Q16" s="0" t="n">
        <f aca="false">SUM(Q10:Q13)</f>
        <v>54121.3177247827</v>
      </c>
      <c r="R16" s="0" t="n">
        <f aca="false">SUM(R10:R13)</f>
        <v>54121.3177247827</v>
      </c>
      <c r="S16" s="0" t="n">
        <f aca="false">SUM(S10:S13)</f>
        <v>54121.3177247827</v>
      </c>
      <c r="T16" s="0" t="n">
        <f aca="false">SUM(T10:T13)</f>
        <v>54121.3177247827</v>
      </c>
      <c r="U16" s="0" t="n">
        <f aca="false">SUM(U10:U13)</f>
        <v>54121.3177247827</v>
      </c>
      <c r="V16" s="0" t="n">
        <f aca="false">SUM(V10:V13)</f>
        <v>54121.3177247827</v>
      </c>
      <c r="W16" s="0" t="n">
        <f aca="false">SUM(W10:W13)</f>
        <v>54121.3177247827</v>
      </c>
      <c r="X16" s="0" t="n">
        <f aca="false">SUM(X10:X13)</f>
        <v>54121.3177247827</v>
      </c>
      <c r="Y16" s="0" t="n">
        <f aca="false">SUM(Y10:Y13)</f>
        <v>54121.3177247827</v>
      </c>
      <c r="Z16" s="0" t="n">
        <f aca="false">SUM(Z10:Z13)</f>
        <v>54121.3177247827</v>
      </c>
      <c r="AA16" s="0" t="n">
        <f aca="false">SUM(AA10:AA13)</f>
        <v>54121.3177247827</v>
      </c>
      <c r="AB16" s="0" t="n">
        <f aca="false">SUM(AB10:AB13)</f>
        <v>54121.3177247827</v>
      </c>
      <c r="AC16" s="0" t="n">
        <f aca="false">SUM(AC10:AC13)</f>
        <v>54121.3177247827</v>
      </c>
      <c r="AD16" s="0" t="n">
        <f aca="false">SUM(AD10:AD13)</f>
        <v>54121.3177247827</v>
      </c>
      <c r="AE16" s="0" t="n">
        <f aca="false">SUM(AE10:AE13)</f>
        <v>54121.3177247827</v>
      </c>
      <c r="AF16" s="0" t="n">
        <f aca="false">SUM(AF10:AF13)</f>
        <v>54121.3177247827</v>
      </c>
      <c r="AG16" s="0" t="n">
        <f aca="false">SUM(AG10:AG13)</f>
        <v>54121.3177247827</v>
      </c>
      <c r="AH16" s="0" t="n">
        <f aca="false">SUM(AH10:AH13)</f>
        <v>54121.3177247827</v>
      </c>
      <c r="AI16" s="0" t="n">
        <f aca="false">SUM(AI10:AI13)</f>
        <v>54121.3177247827</v>
      </c>
      <c r="AJ16" s="0" t="n">
        <f aca="false">SUM(AJ10:AJ13)</f>
        <v>54121.3177247827</v>
      </c>
      <c r="AK16" s="0" t="n">
        <f aca="false">SUM(AK10:AK13)</f>
        <v>54121.3177247827</v>
      </c>
      <c r="AL16" s="0" t="n">
        <f aca="false">SUM(AL10:AL13)</f>
        <v>54121.3177247827</v>
      </c>
      <c r="AM16" s="0" t="n">
        <f aca="false">SUM(AM10:AM13)</f>
        <v>54121.3177247827</v>
      </c>
      <c r="AN16" s="0" t="n">
        <f aca="false">SUM(AN10:AN13)</f>
        <v>54121.3177247827</v>
      </c>
      <c r="AO16" s="0" t="n">
        <f aca="false">SUM(AO10:AO13)</f>
        <v>54121.3177247827</v>
      </c>
      <c r="AP16" s="0" t="n">
        <f aca="false">SUM(AP10:AP13)</f>
        <v>54121.3177247827</v>
      </c>
      <c r="AQ16" s="0" t="n">
        <f aca="false">SUM(AQ10:AQ13)</f>
        <v>54121.3177247827</v>
      </c>
      <c r="AR16" s="0" t="n">
        <f aca="false">SUM(AR10:AR13)</f>
        <v>54121.3177247827</v>
      </c>
      <c r="AS16" s="0" t="n">
        <f aca="false">SUM(AS10:AS13)</f>
        <v>54121.3177247827</v>
      </c>
      <c r="AT16" s="0" t="n">
        <f aca="false">SUM(AT10:AT13)</f>
        <v>54121.3177247827</v>
      </c>
      <c r="AU16" s="0" t="n">
        <f aca="false">SUM(AU10:AU13)</f>
        <v>54121.3177247827</v>
      </c>
      <c r="AV16" s="0" t="n">
        <f aca="false">SUM(AV10:AV13)</f>
        <v>54121.3177247827</v>
      </c>
      <c r="AW16" s="0" t="n">
        <f aca="false">SUM(AW10:AW13)</f>
        <v>54121.3177247827</v>
      </c>
      <c r="AX16" s="0" t="n">
        <f aca="false">SUM(AX10:AX13)</f>
        <v>54121.3177247827</v>
      </c>
      <c r="AY16" s="0" t="n">
        <f aca="false">SUM(AY10:AY13)</f>
        <v>54121.3177247827</v>
      </c>
      <c r="AZ16" s="0" t="n">
        <f aca="false">SUM(AZ10:AZ13)</f>
        <v>54121.3177247827</v>
      </c>
      <c r="BA16" s="0" t="n">
        <f aca="false">SUM(BA10:BA13)</f>
        <v>54121.3177247827</v>
      </c>
      <c r="BB16" s="0" t="n">
        <f aca="false">SUM(BB10:BB13)</f>
        <v>54121.3177247827</v>
      </c>
      <c r="BC16" s="0" t="n">
        <f aca="false">SUM(BC10:BC13)</f>
        <v>54121.3177247827</v>
      </c>
      <c r="BD16" s="0" t="n">
        <f aca="false">SUM(BD10:BD13)</f>
        <v>54121.3177247827</v>
      </c>
      <c r="BE16" s="0" t="n">
        <f aca="false">SUM(BE10:BE13)</f>
        <v>54121.3177247827</v>
      </c>
      <c r="BF16" s="0" t="n">
        <f aca="false">SUM(BF10:BF13)</f>
        <v>54121.3177247827</v>
      </c>
      <c r="BG16" s="0" t="n">
        <f aca="false">SUM(BG10:BG13)</f>
        <v>54121.3177247827</v>
      </c>
      <c r="BH16" s="0" t="n">
        <f aca="false">SUM(BH10:BH13)</f>
        <v>54121.3177247827</v>
      </c>
      <c r="BI16" s="0" t="n">
        <f aca="false">SUM(BI10:BI13)</f>
        <v>54121.3177247827</v>
      </c>
      <c r="BJ16" s="0" t="n">
        <f aca="false">SUM(BJ10:BJ13)</f>
        <v>54121.3177247827</v>
      </c>
      <c r="BK16" s="0" t="n">
        <f aca="false">SUM(BK10:BK13)</f>
        <v>7608416.61024695</v>
      </c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44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45</v>
      </c>
      <c r="C8" s="3" t="n">
        <f aca="false">Assumptions!$E$8*Assumptions!$E$11</f>
        <v>10400000</v>
      </c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46</v>
      </c>
      <c r="C9" s="3" t="n">
        <f aca="false">Assumptions!$E$9*Assumptions!$E$12</f>
        <v>8400000</v>
      </c>
      <c r="D9" s="3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47</v>
      </c>
      <c r="C10" s="3" t="n">
        <f aca="false">Assumptions!$E$10/Assumptions!$E$13/(-PMT(Assumptions!$E$15/12,Assumptions!$E$16*12,1)*12)</f>
        <v>9451700.0517196</v>
      </c>
      <c r="D10" s="3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 t="s">
        <v>48</v>
      </c>
      <c r="C11" s="3" t="n">
        <f aca="false">Assumptions!$E$10/Assumptions!$E$14</f>
        <v>10555555.5555556</v>
      </c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49</v>
      </c>
      <c r="C12" s="3" t="n">
        <f aca="false">MIN(C8:C11)</f>
        <v>8400000</v>
      </c>
      <c r="D12" s="3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2" t="s">
        <v>50</v>
      </c>
      <c r="C16" s="12"/>
      <c r="D16" s="12"/>
      <c r="E16" s="12"/>
      <c r="F16" s="12"/>
      <c r="G16" s="12"/>
      <c r="H16" s="12"/>
      <c r="I16" s="12"/>
      <c r="J16" s="12"/>
      <c r="K16" s="12"/>
    </row>
    <row r="17" customFormat="false" ht="25" hidden="false" customHeight="true" outlineLevel="0" collapsed="false">
      <c r="A17" s="1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16:K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51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2" t="s">
        <v>52</v>
      </c>
      <c r="C6" s="12"/>
      <c r="D6" s="12"/>
      <c r="E6" s="12"/>
      <c r="F6" s="12"/>
      <c r="G6" s="12"/>
      <c r="H6" s="12"/>
      <c r="I6" s="12"/>
      <c r="J6" s="12"/>
      <c r="K6" s="12"/>
    </row>
    <row r="7" customFormat="false" ht="25" hidden="false" customHeight="true" outlineLevel="0" collapsed="false">
      <c r="A7" s="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/>
      <c r="C9" s="16" t="n">
        <f aca="false">Assumptions!$E$20+-0.01</f>
        <v>0.05</v>
      </c>
      <c r="D9" s="16" t="n">
        <f aca="false">Assumptions!$E$20+-0.005</f>
        <v>0.055</v>
      </c>
      <c r="E9" s="16" t="n">
        <f aca="false">Assumptions!$E$20+0</f>
        <v>0.06</v>
      </c>
      <c r="F9" s="16" t="n">
        <f aca="false">Assumptions!$E$20+0.005</f>
        <v>0.065</v>
      </c>
      <c r="G9" s="16" t="n">
        <f aca="false">Assumptions!$E$20+0.01</f>
        <v>0.07</v>
      </c>
      <c r="H9" s="3"/>
      <c r="I9" s="3"/>
      <c r="J9" s="3"/>
      <c r="K9" s="3"/>
    </row>
    <row r="10" customFormat="false" ht="25" hidden="false" customHeight="true" outlineLevel="0" collapsed="false">
      <c r="A10" s="1"/>
      <c r="B10" s="16" t="n">
        <v>-0.1</v>
      </c>
      <c r="C10" s="3" t="n">
        <f aca="false">Assumptions!$E$10*(1+$B10)/C$9</f>
        <v>17100000</v>
      </c>
      <c r="D10" s="3" t="n">
        <f aca="false">Assumptions!$E$10*(1+$B10)/D$9</f>
        <v>15545454.5454545</v>
      </c>
      <c r="E10" s="3" t="n">
        <f aca="false">Assumptions!$E$10*(1+$B10)/E$9</f>
        <v>14250000</v>
      </c>
      <c r="F10" s="3" t="n">
        <f aca="false">Assumptions!$E$10*(1+$B10)/F$9</f>
        <v>13153846.1538462</v>
      </c>
      <c r="G10" s="3" t="n">
        <f aca="false">Assumptions!$E$10*(1+$B10)/G$9</f>
        <v>12214285.7142857</v>
      </c>
      <c r="H10" s="3"/>
      <c r="I10" s="3"/>
      <c r="J10" s="3"/>
      <c r="K10" s="3"/>
    </row>
    <row r="11" customFormat="false" ht="25" hidden="false" customHeight="true" outlineLevel="0" collapsed="false">
      <c r="A11" s="1"/>
      <c r="B11" s="16" t="n">
        <v>-0.05</v>
      </c>
      <c r="C11" s="3" t="n">
        <f aca="false">Assumptions!$E$10*(1+$B11)/C$9</f>
        <v>18050000</v>
      </c>
      <c r="D11" s="3" t="n">
        <f aca="false">Assumptions!$E$10*(1+$B11)/D$9</f>
        <v>16409090.9090909</v>
      </c>
      <c r="E11" s="3" t="n">
        <f aca="false">Assumptions!$E$10*(1+$B11)/E$9</f>
        <v>15041666.6666667</v>
      </c>
      <c r="F11" s="3" t="n">
        <f aca="false">Assumptions!$E$10*(1+$B11)/F$9</f>
        <v>13884615.3846154</v>
      </c>
      <c r="G11" s="3" t="n">
        <f aca="false">Assumptions!$E$10*(1+$B11)/G$9</f>
        <v>12892857.1428571</v>
      </c>
      <c r="H11" s="3"/>
      <c r="I11" s="3"/>
      <c r="J11" s="3"/>
      <c r="K11" s="3"/>
    </row>
    <row r="12" customFormat="false" ht="25" hidden="false" customHeight="true" outlineLevel="0" collapsed="false">
      <c r="A12" s="1"/>
      <c r="B12" s="16" t="n">
        <v>0</v>
      </c>
      <c r="C12" s="3" t="n">
        <f aca="false">Assumptions!$E$10*(1+$B12)/C$9</f>
        <v>19000000</v>
      </c>
      <c r="D12" s="3" t="n">
        <f aca="false">Assumptions!$E$10*(1+$B12)/D$9</f>
        <v>17272727.2727273</v>
      </c>
      <c r="E12" s="3" t="n">
        <f aca="false">Assumptions!$E$10*(1+$B12)/E$9</f>
        <v>15833333.3333333</v>
      </c>
      <c r="F12" s="3" t="n">
        <f aca="false">Assumptions!$E$10*(1+$B12)/F$9</f>
        <v>14615384.6153846</v>
      </c>
      <c r="G12" s="3" t="n">
        <f aca="false">Assumptions!$E$10*(1+$B12)/G$9</f>
        <v>13571428.5714286</v>
      </c>
      <c r="H12" s="3"/>
      <c r="I12" s="3"/>
      <c r="J12" s="3"/>
      <c r="K12" s="3"/>
    </row>
    <row r="13" customFormat="false" ht="25" hidden="false" customHeight="true" outlineLevel="0" collapsed="false">
      <c r="A13" s="1"/>
      <c r="B13" s="16" t="n">
        <v>0.05</v>
      </c>
      <c r="C13" s="3" t="n">
        <f aca="false">Assumptions!$E$10*(1+$B13)/C$9</f>
        <v>19950000</v>
      </c>
      <c r="D13" s="3" t="n">
        <f aca="false">Assumptions!$E$10*(1+$B13)/D$9</f>
        <v>18136363.6363636</v>
      </c>
      <c r="E13" s="3" t="n">
        <f aca="false">Assumptions!$E$10*(1+$B13)/E$9</f>
        <v>16625000</v>
      </c>
      <c r="F13" s="3" t="n">
        <f aca="false">Assumptions!$E$10*(1+$B13)/F$9</f>
        <v>15346153.8461538</v>
      </c>
      <c r="G13" s="3" t="n">
        <f aca="false">Assumptions!$E$10*(1+$B13)/G$9</f>
        <v>14250000</v>
      </c>
      <c r="H13" s="3"/>
      <c r="I13" s="3"/>
      <c r="J13" s="3"/>
      <c r="K13" s="3"/>
    </row>
    <row r="14" customFormat="false" ht="25" hidden="false" customHeight="true" outlineLevel="0" collapsed="false">
      <c r="A14" s="1"/>
      <c r="B14" s="16" t="n">
        <v>0.1</v>
      </c>
      <c r="C14" s="3" t="n">
        <f aca="false">Assumptions!$E$10*(1+$B14)/C$9</f>
        <v>20900000</v>
      </c>
      <c r="D14" s="3" t="n">
        <f aca="false">Assumptions!$E$10*(1+$B14)/D$9</f>
        <v>19000000</v>
      </c>
      <c r="E14" s="3" t="n">
        <f aca="false">Assumptions!$E$10*(1+$B14)/E$9</f>
        <v>17416666.6666667</v>
      </c>
      <c r="F14" s="3" t="n">
        <f aca="false">Assumptions!$E$10*(1+$B14)/F$9</f>
        <v>16076923.0769231</v>
      </c>
      <c r="G14" s="3" t="n">
        <f aca="false">Assumptions!$E$10*(1+$B14)/G$9</f>
        <v>14928571.4285714</v>
      </c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6:K7"/>
  </mergeCells>
  <conditionalFormatting sqref="C10:G14">
    <cfRule type="colorScale" priority="2">
      <colorScale>
        <cfvo type="min" val="0"/>
        <cfvo type="percentile" val="50"/>
        <cfvo type="max" val="0"/>
        <color rgb="FFF6E4D8"/>
        <color rgb="FFF5F7EF"/>
        <color rgb="FFC3DABA"/>
      </colorScale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54</v>
      </c>
      <c r="C8" s="3" t="n">
        <f aca="false">SUM('Debt schedule'!C9:BK9)-SUM('Debt schedule'!C11:BK12)-'Debt schedule'!BK14</f>
        <v>0</v>
      </c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55</v>
      </c>
      <c r="C9" s="3" t="n">
        <f aca="false">'Debt schedule'!BK14</f>
        <v>0</v>
      </c>
      <c r="D9" s="3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56</v>
      </c>
      <c r="C10" s="3" t="n">
        <f aca="false">MAX(0,SUM('Debt schedule'!C9:BK9)-Lender!C12)</f>
        <v>0</v>
      </c>
      <c r="D10" s="3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57</v>
      </c>
      <c r="C12" s="19" t="str">
        <f aca="false">IF(OR(ISERROR(Dashboard!C12)),"IRR ERROR","OK")</f>
        <v>OK</v>
      </c>
      <c r="D12" s="3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conditionalFormatting sqref="C12">
    <cfRule type="cellIs" priority="2" operator="equal" aboveAverage="0" equalAverage="0" bottom="0" percent="0" rank="0" text="" dxfId="0">
      <formula>"IRR ERROR"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58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2" t="s">
        <v>59</v>
      </c>
      <c r="C6" s="12"/>
      <c r="D6" s="12"/>
      <c r="E6" s="12"/>
      <c r="F6" s="12"/>
      <c r="G6" s="12"/>
      <c r="H6" s="12"/>
      <c r="I6" s="12"/>
      <c r="J6" s="12"/>
      <c r="K6" s="12"/>
    </row>
    <row r="7" customFormat="false" ht="25" hidden="false" customHeight="true" outlineLevel="0" collapsed="false">
      <c r="A7" s="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2" t="s">
        <v>60</v>
      </c>
      <c r="C9" s="12"/>
      <c r="D9" s="12"/>
      <c r="E9" s="12"/>
      <c r="F9" s="12"/>
      <c r="G9" s="12"/>
      <c r="H9" s="12"/>
      <c r="I9" s="12"/>
      <c r="J9" s="12"/>
      <c r="K9" s="12"/>
    </row>
    <row r="10" customFormat="false" ht="25" hidden="false" customHeight="true" outlineLevel="0" collapsed="false">
      <c r="A10" s="1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2" t="s">
        <v>61</v>
      </c>
      <c r="C12" s="12"/>
      <c r="D12" s="12"/>
      <c r="E12" s="12"/>
      <c r="F12" s="12"/>
      <c r="G12" s="12"/>
      <c r="H12" s="12"/>
      <c r="I12" s="12"/>
      <c r="J12" s="12"/>
      <c r="K12" s="12"/>
    </row>
    <row r="13" customFormat="false" ht="25" hidden="false" customHeight="true" outlineLevel="0" collapsed="false">
      <c r="A13" s="1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2" t="s">
        <v>62</v>
      </c>
      <c r="C15" s="12"/>
      <c r="D15" s="12"/>
      <c r="E15" s="12"/>
      <c r="F15" s="12"/>
      <c r="G15" s="12"/>
      <c r="H15" s="12"/>
      <c r="I15" s="12"/>
      <c r="J15" s="12"/>
      <c r="K15" s="12"/>
    </row>
    <row r="16" customFormat="false" ht="25" hidden="false" customHeight="true" outlineLevel="0" collapsed="false">
      <c r="A16" s="1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2" t="s">
        <v>63</v>
      </c>
      <c r="C19" s="12"/>
      <c r="D19" s="12"/>
      <c r="E19" s="12"/>
      <c r="F19" s="12"/>
      <c r="G19" s="12"/>
      <c r="H19" s="12"/>
      <c r="I19" s="12"/>
      <c r="J19" s="12"/>
      <c r="K19" s="12"/>
    </row>
    <row r="20" customFormat="false" ht="25" hidden="false" customHeight="true" outlineLevel="0" collapsed="false">
      <c r="A20" s="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7">
    <mergeCell ref="B2:K3"/>
    <mergeCell ref="B4:K4"/>
    <mergeCell ref="B6:K7"/>
    <mergeCell ref="B9:K10"/>
    <mergeCell ref="B12:K13"/>
    <mergeCell ref="B15:K16"/>
    <mergeCell ref="B19:K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